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\Nextcloud5\HOCHLADEN\"/>
    </mc:Choice>
  </mc:AlternateContent>
  <xr:revisionPtr revIDLastSave="0" documentId="13_ncr:1_{5E715A45-A32C-409E-8656-E3DD331CBF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ALY Expert" sheetId="3" r:id="rId1"/>
    <sheet name="VARIFO QALY SMB Calculator" sheetId="2" r:id="rId2"/>
  </sheets>
  <calcPr calcId="191029"/>
</workbook>
</file>

<file path=xl/calcChain.xml><?xml version="1.0" encoding="utf-8"?>
<calcChain xmlns="http://schemas.openxmlformats.org/spreadsheetml/2006/main">
  <c r="D20" i="3" l="1"/>
  <c r="D21" i="3"/>
  <c r="U13" i="3"/>
  <c r="E18" i="2" s="1"/>
  <c r="U6" i="3"/>
  <c r="E15" i="2" s="1"/>
  <c r="U9" i="3"/>
  <c r="E8" i="3"/>
  <c r="E9" i="3" s="1"/>
  <c r="U8" i="3"/>
  <c r="U12" i="3"/>
  <c r="E17" i="2" s="1"/>
  <c r="U11" i="3"/>
  <c r="E16" i="2" s="1"/>
  <c r="E19" i="2"/>
  <c r="U5" i="3"/>
  <c r="U10" i="3"/>
  <c r="D3" i="2"/>
  <c r="C2" i="2"/>
  <c r="C8" i="2"/>
  <c r="C10" i="2" s="1"/>
  <c r="E26" i="2" l="1"/>
  <c r="O15" i="2"/>
  <c r="O23" i="2" l="1"/>
  <c r="O17" i="2"/>
  <c r="O19" i="2" s="1"/>
  <c r="O16" i="2"/>
  <c r="N14" i="2"/>
  <c r="N17" i="2" s="1"/>
  <c r="N19" i="2" s="1"/>
  <c r="N16" i="2" l="1"/>
  <c r="N15" i="2"/>
  <c r="N18" i="2"/>
  <c r="N20" i="2"/>
  <c r="O18" i="2"/>
  <c r="O25" i="2" s="1"/>
  <c r="O26" i="2" s="1"/>
  <c r="O20" i="2"/>
  <c r="O21" i="2" s="1"/>
  <c r="O22" i="2" s="1"/>
  <c r="O24" i="2" s="1"/>
  <c r="N21" i="2" l="1"/>
  <c r="N22" i="2" s="1"/>
  <c r="N24" i="2" s="1"/>
  <c r="O27" i="2"/>
  <c r="N25" i="2"/>
  <c r="N26" i="2" s="1"/>
  <c r="N27" i="2" l="1"/>
  <c r="K28" i="2"/>
  <c r="K31" i="2" s="1"/>
  <c r="K23" i="2"/>
  <c r="K29" i="2" l="1"/>
  <c r="K32" i="2" s="1"/>
  <c r="K21" i="2" s="1"/>
  <c r="K22" i="2" s="1"/>
  <c r="K24" i="2" s="1"/>
  <c r="J28" i="2"/>
  <c r="J31" i="2" s="1"/>
  <c r="F28" i="2"/>
  <c r="F31" i="2" s="1"/>
  <c r="H28" i="2"/>
  <c r="H31" i="2" s="1"/>
  <c r="G28" i="2"/>
  <c r="G31" i="2" s="1"/>
  <c r="E28" i="2"/>
  <c r="E31" i="2" s="1"/>
  <c r="D22" i="3" s="1"/>
  <c r="J23" i="2"/>
  <c r="F23" i="2"/>
  <c r="H23" i="2"/>
  <c r="G23" i="2"/>
  <c r="E23" i="2"/>
  <c r="D19" i="3" l="1"/>
  <c r="H21" i="2"/>
  <c r="E29" i="2"/>
  <c r="E32" i="2" s="1"/>
  <c r="E21" i="2" s="1"/>
  <c r="K20" i="2"/>
  <c r="K25" i="2" s="1"/>
  <c r="K33" i="2"/>
  <c r="K30" i="2"/>
  <c r="K34" i="2"/>
  <c r="K35" i="2"/>
  <c r="K36" i="2" s="1"/>
  <c r="J29" i="2"/>
  <c r="J32" i="2" s="1"/>
  <c r="J20" i="2" s="1"/>
  <c r="G29" i="2"/>
  <c r="G32" i="2" s="1"/>
  <c r="H29" i="2"/>
  <c r="H32" i="2" s="1"/>
  <c r="E20" i="2" l="1"/>
  <c r="D16" i="3" s="1"/>
  <c r="D23" i="3"/>
  <c r="D24" i="3" s="1"/>
  <c r="G20" i="2"/>
  <c r="J33" i="2"/>
  <c r="G30" i="2"/>
  <c r="J21" i="2"/>
  <c r="J22" i="2" s="1"/>
  <c r="J24" i="2" s="1"/>
  <c r="J25" i="2" s="1"/>
  <c r="J35" i="2"/>
  <c r="J36" i="2" s="1"/>
  <c r="F34" i="2"/>
  <c r="F21" i="2"/>
  <c r="F22" i="2" s="1"/>
  <c r="F24" i="2" s="1"/>
  <c r="F35" i="2"/>
  <c r="F36" i="2" s="1"/>
  <c r="G34" i="2"/>
  <c r="J34" i="2"/>
  <c r="J30" i="2"/>
  <c r="H30" i="2"/>
  <c r="E30" i="2"/>
  <c r="F30" i="2"/>
  <c r="E34" i="2"/>
  <c r="E33" i="2"/>
  <c r="E35" i="2"/>
  <c r="E36" i="2" s="1"/>
  <c r="H20" i="2"/>
  <c r="H35" i="2"/>
  <c r="H36" i="2" s="1"/>
  <c r="H33" i="2"/>
  <c r="H22" i="2"/>
  <c r="H24" i="2" s="1"/>
  <c r="H34" i="2"/>
  <c r="G21" i="2" l="1"/>
  <c r="G22" i="2" s="1"/>
  <c r="G24" i="2" s="1"/>
  <c r="G25" i="2" s="1"/>
  <c r="G35" i="2"/>
  <c r="G36" i="2" s="1"/>
  <c r="F25" i="2"/>
  <c r="G33" i="2"/>
  <c r="H25" i="2"/>
  <c r="E22" i="2"/>
  <c r="E24" i="2" s="1"/>
  <c r="E25" i="2" s="1"/>
  <c r="D17" i="3" s="1"/>
</calcChain>
</file>

<file path=xl/sharedStrings.xml><?xml version="1.0" encoding="utf-8"?>
<sst xmlns="http://schemas.openxmlformats.org/spreadsheetml/2006/main" count="129" uniqueCount="109">
  <si>
    <t>Cost per fatal AMI</t>
  </si>
  <si>
    <t xml:space="preserve"> </t>
  </si>
  <si>
    <t>Cost</t>
  </si>
  <si>
    <t>5 years</t>
  </si>
  <si>
    <t>10 years</t>
  </si>
  <si>
    <t>1 death = x QALY</t>
  </si>
  <si>
    <t>Cost per nfatal AMI</t>
  </si>
  <si>
    <t>Cost per nfatal AMI, subsequent</t>
  </si>
  <si>
    <t>QALY can be gained</t>
  </si>
  <si>
    <t>Inital Cost</t>
  </si>
  <si>
    <t>Subsequent cost</t>
  </si>
  <si>
    <t>Total QALY gainded</t>
  </si>
  <si>
    <t>QALY per Person</t>
  </si>
  <si>
    <t>Cost per QALY</t>
  </si>
  <si>
    <t>Total saved Cost</t>
  </si>
  <si>
    <t>Total saved Cost / 1000</t>
  </si>
  <si>
    <t>Treatment cost/1000</t>
  </si>
  <si>
    <t>Effektive Kosten</t>
  </si>
  <si>
    <t/>
  </si>
  <si>
    <t>5 Years</t>
  </si>
  <si>
    <t>10 Years</t>
  </si>
  <si>
    <t>1 AMI = x QALY</t>
  </si>
  <si>
    <t>1 death = x QALY / 0.5 years</t>
  </si>
  <si>
    <t>1 AMI = x QALY / 0.5 years</t>
  </si>
  <si>
    <t>Assumptions</t>
  </si>
  <si>
    <t>Fatal heart attack</t>
  </si>
  <si>
    <t>Non-fatal heart attack (factor)</t>
  </si>
  <si>
    <t>Cost of fatal heart attack</t>
  </si>
  <si>
    <t>Cost of non-fatal heart attack (1st year)</t>
  </si>
  <si>
    <t>Cost of non-fatal heart attack (after first 1st year)</t>
  </si>
  <si>
    <t>Statin and monitoring cost (per year)</t>
  </si>
  <si>
    <t>Duration of observation (years)</t>
  </si>
  <si>
    <t>Effect [(improvement of life) * (quality)]</t>
  </si>
  <si>
    <t>Total cost (per 1000 individuals)</t>
  </si>
  <si>
    <t>Total cost (per individual)</t>
  </si>
  <si>
    <t>Statin and monitoring cost (obersvation years)</t>
  </si>
  <si>
    <t>Avoided healthcare costs</t>
  </si>
  <si>
    <t>cost : efficiency ratio (Cost per QALY)</t>
  </si>
  <si>
    <t>Number of individuals</t>
  </si>
  <si>
    <t>Expected fatal heart attacks</t>
  </si>
  <si>
    <t>Expected non-fatal heart attacks</t>
  </si>
  <si>
    <t>Total amount of events (deadly &amp; non-deadly)</t>
  </si>
  <si>
    <t>Avoidable fatal heart attacks</t>
  </si>
  <si>
    <t>Avoidable non-fatal heart attacks</t>
  </si>
  <si>
    <t>Absolute risk</t>
  </si>
  <si>
    <t>Avoidable risk</t>
  </si>
  <si>
    <t>Number needed to treat (NNT)</t>
  </si>
  <si>
    <t>Markov Model</t>
  </si>
  <si>
    <t>Avoided Death</t>
  </si>
  <si>
    <t>Avoided nonfatal AMI</t>
  </si>
  <si>
    <t xml:space="preserve">ï </t>
  </si>
  <si>
    <t>Total amount of avoidable events (deadly &amp; non-deadly)</t>
  </si>
  <si>
    <t>1. Statin Report of the Swiss Medical Board (SMB)</t>
  </si>
  <si>
    <t>Calculations</t>
  </si>
  <si>
    <t>We do not recommend QALY for treatment decision. The QALY method makes too many assumptions that can manipulate appropriate medical decisions.</t>
  </si>
  <si>
    <t>Conclusion</t>
  </si>
  <si>
    <t>The SMB QALY Report has wrong costs/QALY and should be withdrawn.</t>
  </si>
  <si>
    <t>http://www.medical-board.ch/fileadmin/docs/public/mb/Fachberichte/2014-07-21_Bericht_Statine_Final_Anpassung.pdf</t>
  </si>
  <si>
    <t>Reference</t>
  </si>
  <si>
    <t>QALY calculator</t>
  </si>
  <si>
    <t xml:space="preserve">This QALY Model is based on </t>
  </si>
  <si>
    <t>Enter avoidable fatal heart attacks (Row 32) in L14</t>
  </si>
  <si>
    <t>For comparison of SMB with Markov Models</t>
  </si>
  <si>
    <t xml:space="preserve">2. Markov model with discrete on year time intervals, otherwise same assumptions as 1. </t>
  </si>
  <si>
    <t>The SMB assumes that 2 fatal heart attacks can be prevented</t>
  </si>
  <si>
    <t xml:space="preserve">in 5 years. </t>
  </si>
  <si>
    <t xml:space="preserve">The SMB assumes that 11% of deaths can be prevented </t>
  </si>
  <si>
    <t>Therefore, we need 18 fatal heart attacks in order to prevent</t>
  </si>
  <si>
    <t xml:space="preserve">2 fatal heart attacks in 5 years. </t>
  </si>
  <si>
    <t xml:space="preserve">The SMB assummes that for each fatal heart attack, </t>
  </si>
  <si>
    <t xml:space="preserve">4.5 non fatal heart attacks occur. </t>
  </si>
  <si>
    <t>In this model, costs per QALY are 210279 CHF.</t>
  </si>
  <si>
    <t xml:space="preserve">Now we simply extend the model from 5 to 10 years. </t>
  </si>
  <si>
    <t>Since risk increases in a linear fashion, we expect 36 fatal</t>
  </si>
  <si>
    <t>heart attacks.</t>
  </si>
  <si>
    <t>Of these, 22% can be prevented, because risk reduction is 22%</t>
  </si>
  <si>
    <t>in 10 years.</t>
  </si>
  <si>
    <t>Therefore, of 36 deadly heart attacks, 8 can be prevented.</t>
  </si>
  <si>
    <t xml:space="preserve">Extended to 10 years, costs per QALY are 33886 CHF. </t>
  </si>
  <si>
    <t>Had the SMB extended the effect of statin treatment in low risk</t>
  </si>
  <si>
    <t xml:space="preserve">populations from 5 to 10 years, a cost efficiency is clearly </t>
  </si>
  <si>
    <t xml:space="preserve">present. </t>
  </si>
  <si>
    <t>Using the ESC standard, cost per QALY are 17081 CHF in 10 years.</t>
  </si>
  <si>
    <t>Fatal AMI Risk in % in years</t>
  </si>
  <si>
    <t>Limitation</t>
  </si>
  <si>
    <t>Background</t>
  </si>
  <si>
    <t>Time of treatment in years</t>
  </si>
  <si>
    <t>QALY loss due to disease (default 20%)</t>
  </si>
  <si>
    <t>Relative Risk Reduction of Treatment in %</t>
  </si>
  <si>
    <t>VSL (cost of death per year)</t>
  </si>
  <si>
    <t>Cost of disease first year</t>
  </si>
  <si>
    <t>Cost of disease subsequent years</t>
  </si>
  <si>
    <t>Include Social cost in the model (1=no, 2=yes)</t>
  </si>
  <si>
    <t>Qaly gained in 1000 persons treated</t>
  </si>
  <si>
    <t>Cost / QALY (Cost-Effectiveness)</t>
  </si>
  <si>
    <t>Fatal risk per year in %</t>
  </si>
  <si>
    <t>Non fatal risk per year in %</t>
  </si>
  <si>
    <t>Your Choice</t>
  </si>
  <si>
    <t>SMB Model</t>
  </si>
  <si>
    <t>Statin</t>
  </si>
  <si>
    <t xml:space="preserve">Results </t>
  </si>
  <si>
    <t>Input Variables for Population of 1'000</t>
  </si>
  <si>
    <t>Cost of therapy per year in CHF</t>
  </si>
  <si>
    <t>Return on investment (cost vs VSLY)</t>
  </si>
  <si>
    <t>Expected years of lost life per person (e.g. 30 years for a 50 year old)</t>
  </si>
  <si>
    <t>Years Lost</t>
  </si>
  <si>
    <t xml:space="preserve">Cost of therapy  </t>
  </si>
  <si>
    <t>VSLY (not discounted)</t>
  </si>
  <si>
    <t>Return on investment (cost vs VSLY) for 1 000 000 treated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</si>
</sst>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Wingdings"/>
      <charset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 tint="-4.9989318521683403E-2"/>
      <name val="Arial"/>
      <family val="2"/>
    </font>
    <font>
      <b/>
      <sz val="16"/>
      <color rgb="FFFFC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0" xfId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5" xfId="0" applyFont="1" applyBorder="1"/>
    <xf numFmtId="0" fontId="9" fillId="0" borderId="7" xfId="0" applyFont="1" applyBorder="1"/>
    <xf numFmtId="0" fontId="6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0" fillId="0" borderId="8" xfId="0" applyBorder="1"/>
    <xf numFmtId="0" fontId="7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0" fillId="0" borderId="9" xfId="0" applyBorder="1" applyAlignment="1">
      <alignment horizontal="center"/>
    </xf>
    <xf numFmtId="0" fontId="8" fillId="0" borderId="8" xfId="0" applyFont="1" applyBorder="1"/>
    <xf numFmtId="0" fontId="2" fillId="0" borderId="8" xfId="0" applyFont="1" applyBorder="1"/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9" fontId="0" fillId="0" borderId="0" xfId="0" applyNumberFormat="1"/>
    <xf numFmtId="0" fontId="1" fillId="0" borderId="1" xfId="0" applyFont="1" applyBorder="1"/>
    <xf numFmtId="1" fontId="1" fillId="0" borderId="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/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0" fontId="9" fillId="0" borderId="10" xfId="0" applyFont="1" applyBorder="1"/>
    <xf numFmtId="0" fontId="9" fillId="0" borderId="12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10" fillId="5" borderId="0" xfId="0" applyFont="1" applyFill="1" applyAlignment="1">
      <alignment horizontal="left" vertical="top"/>
    </xf>
    <xf numFmtId="0" fontId="10" fillId="4" borderId="0" xfId="0" applyFont="1" applyFill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10" fillId="3" borderId="0" xfId="0" applyFont="1" applyFill="1" applyAlignment="1">
      <alignment horizontal="center" vertical="top"/>
    </xf>
    <xf numFmtId="2" fontId="10" fillId="4" borderId="0" xfId="0" applyNumberFormat="1" applyFont="1" applyFill="1" applyAlignment="1">
      <alignment horizontal="center" vertical="top"/>
    </xf>
    <xf numFmtId="3" fontId="10" fillId="4" borderId="0" xfId="0" applyNumberFormat="1" applyFont="1" applyFill="1" applyAlignment="1">
      <alignment horizontal="center" vertical="top"/>
    </xf>
    <xf numFmtId="3" fontId="10" fillId="3" borderId="0" xfId="0" applyNumberFormat="1" applyFont="1" applyFill="1" applyAlignment="1">
      <alignment horizontal="center" vertical="top"/>
    </xf>
    <xf numFmtId="164" fontId="10" fillId="2" borderId="0" xfId="0" applyNumberFormat="1" applyFont="1" applyFill="1" applyAlignment="1">
      <alignment horizontal="center" vertical="top"/>
    </xf>
    <xf numFmtId="3" fontId="10" fillId="2" borderId="0" xfId="0" applyNumberFormat="1" applyFont="1" applyFill="1" applyAlignment="1">
      <alignment horizontal="center" vertical="top"/>
    </xf>
    <xf numFmtId="0" fontId="10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center" vertical="top"/>
    </xf>
    <xf numFmtId="0" fontId="10" fillId="6" borderId="0" xfId="0" applyFont="1" applyFill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359835</xdr:colOff>
      <xdr:row>0</xdr:row>
      <xdr:rowOff>116416</xdr:rowOff>
    </xdr:from>
    <xdr:to>
      <xdr:col>1</xdr:col>
      <xdr:colOff>2617260</xdr:colOff>
      <xdr:row>9</xdr:row>
      <xdr:rowOff>149224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5" y="116416"/>
          <a:ext cx="2257425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A85F-B40B-433C-A9DD-155F4675786C}">
  <dimension ref="C2:U25"/>
  <sheetViews>
    <sheetView tabSelected="1" workbookViewId="0">
      <selection activeCell="F22" sqref="F22"/>
    </sheetView>
  </sheetViews>
  <sheetFormatPr baseColWidth="10" defaultRowHeight="20.25" customHeight="1" x14ac:dyDescent="0.25"/>
  <cols>
    <col min="1" max="2" width="11.42578125" style="87"/>
    <col min="3" max="3" width="97.7109375" style="86" customWidth="1"/>
    <col min="4" max="4" width="27.28515625" style="87" customWidth="1"/>
    <col min="5" max="5" width="29" style="87" customWidth="1"/>
    <col min="6" max="6" width="21.42578125" style="87" customWidth="1"/>
    <col min="7" max="20" width="11.42578125" style="87"/>
    <col min="21" max="21" width="25.140625" style="87" customWidth="1"/>
    <col min="22" max="16384" width="11.42578125" style="87"/>
  </cols>
  <sheetData>
    <row r="2" spans="3:21" ht="20.25" customHeight="1" x14ac:dyDescent="0.25">
      <c r="C2" s="99"/>
      <c r="D2" s="97"/>
      <c r="E2" s="98" t="s">
        <v>99</v>
      </c>
    </row>
    <row r="3" spans="3:21" ht="20.25" customHeight="1" x14ac:dyDescent="0.25">
      <c r="C3" s="90" t="s">
        <v>101</v>
      </c>
      <c r="D3" s="98" t="s">
        <v>97</v>
      </c>
      <c r="E3" s="98" t="s">
        <v>98</v>
      </c>
    </row>
    <row r="4" spans="3:21" ht="20.25" customHeight="1" x14ac:dyDescent="0.25">
      <c r="C4" s="88" t="s">
        <v>86</v>
      </c>
      <c r="D4" s="89">
        <v>10</v>
      </c>
      <c r="E4" s="91">
        <v>5</v>
      </c>
    </row>
    <row r="5" spans="3:21" ht="20.25" customHeight="1" x14ac:dyDescent="0.25">
      <c r="C5" s="88" t="s">
        <v>87</v>
      </c>
      <c r="D5" s="89">
        <v>20</v>
      </c>
      <c r="E5" s="91">
        <v>20</v>
      </c>
      <c r="U5" s="87">
        <f>D5/100</f>
        <v>0.2</v>
      </c>
    </row>
    <row r="6" spans="3:21" ht="20.25" customHeight="1" x14ac:dyDescent="0.25">
      <c r="C6" s="88" t="s">
        <v>89</v>
      </c>
      <c r="D6" s="89">
        <v>200000</v>
      </c>
      <c r="E6" s="91">
        <v>8500</v>
      </c>
      <c r="U6" s="87">
        <f>D6*D7</f>
        <v>3600000</v>
      </c>
    </row>
    <row r="7" spans="3:21" ht="20.25" customHeight="1" x14ac:dyDescent="0.25">
      <c r="C7" s="88" t="s">
        <v>104</v>
      </c>
      <c r="D7" s="89">
        <v>18</v>
      </c>
      <c r="E7" s="91">
        <v>1</v>
      </c>
    </row>
    <row r="8" spans="3:21" ht="20.25" customHeight="1" x14ac:dyDescent="0.25">
      <c r="C8" s="88" t="s">
        <v>95</v>
      </c>
      <c r="D8" s="89">
        <v>0.182</v>
      </c>
      <c r="E8" s="91">
        <f>0.91/E4</f>
        <v>0.182</v>
      </c>
      <c r="U8" s="87">
        <f>D8*D4</f>
        <v>1.8199999999999998</v>
      </c>
    </row>
    <row r="9" spans="3:21" ht="20.25" customHeight="1" x14ac:dyDescent="0.25">
      <c r="C9" s="88" t="s">
        <v>96</v>
      </c>
      <c r="D9" s="89">
        <v>0.81899999999999995</v>
      </c>
      <c r="E9" s="91">
        <f>E8*4.5</f>
        <v>0.81899999999999995</v>
      </c>
      <c r="U9" s="87">
        <f>D9/D8</f>
        <v>4.5</v>
      </c>
    </row>
    <row r="10" spans="3:21" ht="20.25" customHeight="1" x14ac:dyDescent="0.25">
      <c r="C10" s="88" t="s">
        <v>88</v>
      </c>
      <c r="D10" s="89">
        <v>30</v>
      </c>
      <c r="E10" s="91">
        <v>22</v>
      </c>
      <c r="U10" s="87">
        <f>D10/100</f>
        <v>0.3</v>
      </c>
    </row>
    <row r="11" spans="3:21" ht="20.25" customHeight="1" x14ac:dyDescent="0.25">
      <c r="C11" s="88" t="s">
        <v>90</v>
      </c>
      <c r="D11" s="89">
        <v>25000</v>
      </c>
      <c r="E11" s="91">
        <v>25000</v>
      </c>
      <c r="U11" s="87">
        <f>D11*D14</f>
        <v>50000</v>
      </c>
    </row>
    <row r="12" spans="3:21" ht="20.25" customHeight="1" x14ac:dyDescent="0.25">
      <c r="C12" s="88" t="s">
        <v>91</v>
      </c>
      <c r="D12" s="89">
        <v>8000</v>
      </c>
      <c r="E12" s="91">
        <v>8000</v>
      </c>
      <c r="U12" s="87">
        <f>D12*D14</f>
        <v>16000</v>
      </c>
    </row>
    <row r="13" spans="3:21" ht="20.25" customHeight="1" x14ac:dyDescent="0.25">
      <c r="C13" s="88" t="s">
        <v>102</v>
      </c>
      <c r="D13" s="89">
        <v>470</v>
      </c>
      <c r="E13" s="91">
        <v>470</v>
      </c>
      <c r="U13" s="87">
        <f>D13</f>
        <v>470</v>
      </c>
    </row>
    <row r="14" spans="3:21" ht="20.25" customHeight="1" x14ac:dyDescent="0.25">
      <c r="C14" s="88" t="s">
        <v>92</v>
      </c>
      <c r="D14" s="89">
        <v>2</v>
      </c>
      <c r="E14" s="91">
        <v>1</v>
      </c>
    </row>
    <row r="15" spans="3:21" ht="20.25" customHeight="1" x14ac:dyDescent="0.25">
      <c r="C15" s="90" t="s">
        <v>100</v>
      </c>
      <c r="D15" s="89"/>
      <c r="E15" s="91"/>
    </row>
    <row r="16" spans="3:21" ht="20.25" customHeight="1" x14ac:dyDescent="0.25">
      <c r="C16" s="88" t="s">
        <v>93</v>
      </c>
      <c r="D16" s="92">
        <f>'VARIFO QALY SMB Calculator'!E20</f>
        <v>51.869999999999983</v>
      </c>
      <c r="E16" s="91">
        <v>9.51</v>
      </c>
    </row>
    <row r="17" spans="3:5" ht="20.25" customHeight="1" x14ac:dyDescent="0.25">
      <c r="C17" s="88" t="s">
        <v>94</v>
      </c>
      <c r="D17" s="93">
        <f>'VARIFO QALY SMB Calculator'!E25</f>
        <v>-342336.22517833038</v>
      </c>
      <c r="E17" s="94">
        <v>210279</v>
      </c>
    </row>
    <row r="18" spans="3:5" ht="20.25" customHeight="1" x14ac:dyDescent="0.25">
      <c r="C18" s="90" t="s">
        <v>103</v>
      </c>
      <c r="E18" s="88"/>
    </row>
    <row r="19" spans="3:5" ht="20.25" customHeight="1" x14ac:dyDescent="0.25">
      <c r="C19" s="88" t="s">
        <v>42</v>
      </c>
      <c r="D19" s="95">
        <f>'VARIFO QALY SMB Calculator'!E31</f>
        <v>5.4599999999999982</v>
      </c>
      <c r="E19" s="88"/>
    </row>
    <row r="20" spans="3:5" ht="20.25" customHeight="1" x14ac:dyDescent="0.25">
      <c r="C20" s="88" t="s">
        <v>105</v>
      </c>
      <c r="D20" s="87">
        <f>D7</f>
        <v>18</v>
      </c>
      <c r="E20" s="88"/>
    </row>
    <row r="21" spans="3:5" ht="20.25" customHeight="1" x14ac:dyDescent="0.25">
      <c r="C21" s="88" t="s">
        <v>106</v>
      </c>
      <c r="D21" s="96">
        <f>1000*D13*D4</f>
        <v>4700000</v>
      </c>
      <c r="E21" s="88"/>
    </row>
    <row r="22" spans="3:5" ht="20.25" customHeight="1" x14ac:dyDescent="0.25">
      <c r="C22" s="88" t="s">
        <v>107</v>
      </c>
      <c r="D22" s="96">
        <f>D20*D6*'VARIFO QALY SMB Calculator'!E31</f>
        <v>19655999.999999993</v>
      </c>
      <c r="E22" s="88"/>
    </row>
    <row r="23" spans="3:5" ht="20.25" customHeight="1" x14ac:dyDescent="0.25">
      <c r="C23" s="88" t="s">
        <v>103</v>
      </c>
      <c r="D23" s="93">
        <f>D22-D21</f>
        <v>14955999.999999993</v>
      </c>
      <c r="E23" s="88"/>
    </row>
    <row r="24" spans="3:5" ht="20.25" customHeight="1" x14ac:dyDescent="0.25">
      <c r="C24" s="88" t="s">
        <v>108</v>
      </c>
      <c r="D24" s="93">
        <f>D23*1000</f>
        <v>14955999999.999992</v>
      </c>
      <c r="E24" s="88"/>
    </row>
    <row r="25" spans="3:5" ht="20.25" customHeight="1" x14ac:dyDescent="0.25">
      <c r="C25" s="99"/>
      <c r="D25" s="97"/>
      <c r="E25" s="88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9293C39-0399-458E-8528-0AAA0516DF5B}">
            <x14:iconSet iconSet="3Symbols2" custom="1">
              <x14:cfvo type="percent">
                <xm:f>0</xm:f>
              </x14:cfvo>
              <x14:cfvo type="num">
                <xm:f>100000</xm:f>
              </x14:cfvo>
              <x14:cfvo type="num">
                <xm:f>150000</xm:f>
              </x14:cfvo>
              <x14:cfIcon iconSet="3Symbols" iconId="2"/>
              <x14:cfIcon iconSet="3Symbols" iconId="1"/>
              <x14:cfIcon iconSet="3Symbols" iconId="0"/>
            </x14:iconSet>
          </x14:cfRule>
          <xm:sqref>D17:E17</xm:sqref>
        </x14:conditionalFormatting>
        <x14:conditionalFormatting xmlns:xm="http://schemas.microsoft.com/office/excel/2006/main">
          <x14:cfRule type="iconSet" priority="1" id="{769B77CC-DA14-49B1-927E-1758519AC50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1000</xm:f>
              </x14:cfvo>
              <x14:cfIcon iconSet="3Symbols" iconId="0"/>
              <x14:cfIcon iconSet="3Symbols2" iconId="1"/>
              <x14:cfIcon iconSet="3Symbols" iconId="2"/>
            </x14:iconSet>
          </x14:cfRule>
          <xm:sqref>D23:D24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0"/>
  <sheetViews>
    <sheetView topLeftCell="A7" zoomScaleNormal="100" workbookViewId="0">
      <pane ySplit="11250" topLeftCell="A163"/>
      <selection activeCell="E15" sqref="E15"/>
      <selection pane="bottomLeft" activeCell="H163" sqref="H163"/>
    </sheetView>
  </sheetViews>
  <sheetFormatPr baseColWidth="10" defaultColWidth="9.140625" defaultRowHeight="15" x14ac:dyDescent="0.25"/>
  <cols>
    <col min="1" max="1" width="3" customWidth="1"/>
    <col min="2" max="2" width="54" customWidth="1"/>
    <col min="3" max="3" width="9.140625" customWidth="1"/>
    <col min="4" max="4" width="44.5703125" customWidth="1"/>
    <col min="5" max="8" width="13.140625" style="2" customWidth="1"/>
    <col min="9" max="10" width="13.140625" customWidth="1"/>
    <col min="12" max="12" width="43.42578125" customWidth="1"/>
    <col min="13" max="13" width="11.140625" style="2" bestFit="1" customWidth="1"/>
    <col min="14" max="14" width="10" style="2" bestFit="1" customWidth="1"/>
    <col min="15" max="15" width="2.7109375" customWidth="1"/>
  </cols>
  <sheetData>
    <row r="2" spans="2:17" x14ac:dyDescent="0.25">
      <c r="C2">
        <f>3.9/5</f>
        <v>0.78</v>
      </c>
      <c r="E2" s="1"/>
    </row>
    <row r="3" spans="2:17" x14ac:dyDescent="0.25">
      <c r="D3">
        <f>35.5/30/2</f>
        <v>0.59166666666666667</v>
      </c>
    </row>
    <row r="5" spans="2:17" ht="26.25" x14ac:dyDescent="0.4">
      <c r="D5" s="3" t="s">
        <v>59</v>
      </c>
      <c r="M5"/>
      <c r="O5" s="2"/>
    </row>
    <row r="6" spans="2:17" x14ac:dyDescent="0.25">
      <c r="D6" s="4" t="s">
        <v>60</v>
      </c>
      <c r="E6" s="4" t="s">
        <v>85</v>
      </c>
      <c r="F6" s="82" t="s">
        <v>52</v>
      </c>
      <c r="M6"/>
      <c r="O6" s="2"/>
    </row>
    <row r="7" spans="2:17" x14ac:dyDescent="0.25">
      <c r="C7">
        <v>0.37</v>
      </c>
      <c r="D7" s="4"/>
      <c r="E7"/>
      <c r="F7" s="82" t="s">
        <v>63</v>
      </c>
      <c r="M7"/>
      <c r="O7" s="2"/>
    </row>
    <row r="8" spans="2:17" x14ac:dyDescent="0.25">
      <c r="C8">
        <f>C7*365</f>
        <v>135.05000000000001</v>
      </c>
      <c r="E8" s="4" t="s">
        <v>84</v>
      </c>
      <c r="F8" s="82" t="s">
        <v>54</v>
      </c>
      <c r="M8"/>
      <c r="O8" s="2"/>
    </row>
    <row r="9" spans="2:17" x14ac:dyDescent="0.25">
      <c r="C9">
        <v>120</v>
      </c>
      <c r="E9" s="4" t="s">
        <v>55</v>
      </c>
      <c r="F9" s="82" t="s">
        <v>56</v>
      </c>
      <c r="M9"/>
      <c r="O9" s="2"/>
    </row>
    <row r="10" spans="2:17" x14ac:dyDescent="0.25">
      <c r="C10">
        <f>C8+C9</f>
        <v>255.05</v>
      </c>
      <c r="E10" s="4" t="s">
        <v>58</v>
      </c>
      <c r="F10" s="82" t="s">
        <v>57</v>
      </c>
      <c r="M10"/>
      <c r="O10" s="2"/>
    </row>
    <row r="11" spans="2:17" ht="15.75" thickBot="1" x14ac:dyDescent="0.3"/>
    <row r="12" spans="2:17" ht="15.75" thickBot="1" x14ac:dyDescent="0.3">
      <c r="B12" s="5" t="s">
        <v>64</v>
      </c>
      <c r="C12" s="6"/>
      <c r="D12" s="7" t="s">
        <v>24</v>
      </c>
      <c r="E12" s="8" t="s">
        <v>1</v>
      </c>
      <c r="F12" s="9" t="s">
        <v>1</v>
      </c>
      <c r="G12" s="9" t="s">
        <v>1</v>
      </c>
      <c r="H12" s="10" t="s">
        <v>1</v>
      </c>
      <c r="J12" s="9" t="s">
        <v>1</v>
      </c>
      <c r="K12" s="11" t="s">
        <v>1</v>
      </c>
      <c r="M12"/>
      <c r="O12" s="2"/>
    </row>
    <row r="13" spans="2:17" x14ac:dyDescent="0.25">
      <c r="B13" s="12" t="s">
        <v>65</v>
      </c>
      <c r="C13" s="13"/>
      <c r="D13" s="44" t="s">
        <v>25</v>
      </c>
      <c r="E13" s="45">
        <v>1</v>
      </c>
      <c r="F13" s="46">
        <v>1</v>
      </c>
      <c r="G13" s="46">
        <v>1</v>
      </c>
      <c r="H13" s="47">
        <v>1</v>
      </c>
      <c r="J13" s="46">
        <v>1</v>
      </c>
      <c r="K13" s="48">
        <v>1</v>
      </c>
      <c r="M13" s="15" t="s">
        <v>47</v>
      </c>
      <c r="N13" s="16" t="s">
        <v>19</v>
      </c>
      <c r="O13" s="17" t="s">
        <v>20</v>
      </c>
      <c r="Q13" s="4" t="s">
        <v>62</v>
      </c>
    </row>
    <row r="14" spans="2:17" x14ac:dyDescent="0.25">
      <c r="B14" s="12" t="s">
        <v>66</v>
      </c>
      <c r="C14" s="13"/>
      <c r="D14" s="49" t="s">
        <v>26</v>
      </c>
      <c r="E14" s="50">
        <v>4.5</v>
      </c>
      <c r="F14" s="51">
        <v>4.5</v>
      </c>
      <c r="G14" s="51">
        <v>4.5</v>
      </c>
      <c r="H14" s="52">
        <v>4.5</v>
      </c>
      <c r="J14" s="51">
        <v>4.5</v>
      </c>
      <c r="K14" s="53">
        <v>4.5</v>
      </c>
      <c r="M14" s="18" t="s">
        <v>48</v>
      </c>
      <c r="N14" s="2">
        <f>O14/2</f>
        <v>1</v>
      </c>
      <c r="O14" s="19">
        <v>2</v>
      </c>
      <c r="P14" s="20" t="s">
        <v>50</v>
      </c>
      <c r="Q14" s="21" t="s">
        <v>61</v>
      </c>
    </row>
    <row r="15" spans="2:17" x14ac:dyDescent="0.25">
      <c r="B15" s="12" t="s">
        <v>65</v>
      </c>
      <c r="C15" s="13"/>
      <c r="D15" s="49" t="s">
        <v>27</v>
      </c>
      <c r="E15" s="54">
        <f>'QALY Expert'!U6</f>
        <v>3600000</v>
      </c>
      <c r="F15" s="55">
        <v>200000</v>
      </c>
      <c r="G15" s="55">
        <v>8500</v>
      </c>
      <c r="H15" s="56">
        <v>8500</v>
      </c>
      <c r="J15" s="55">
        <v>8500</v>
      </c>
      <c r="K15" s="57">
        <v>8500</v>
      </c>
      <c r="M15" s="14" t="s">
        <v>8</v>
      </c>
      <c r="N15" s="2">
        <f>N14*N32</f>
        <v>2</v>
      </c>
      <c r="O15" s="22">
        <f>O14*O32</f>
        <v>7</v>
      </c>
    </row>
    <row r="16" spans="2:17" x14ac:dyDescent="0.25">
      <c r="B16" s="12" t="s">
        <v>67</v>
      </c>
      <c r="C16" s="13"/>
      <c r="D16" s="49" t="s">
        <v>28</v>
      </c>
      <c r="E16" s="54">
        <f>'QALY Expert'!U11</f>
        <v>50000</v>
      </c>
      <c r="F16" s="55">
        <v>25000</v>
      </c>
      <c r="G16" s="55">
        <v>25000</v>
      </c>
      <c r="H16" s="56">
        <v>25000</v>
      </c>
      <c r="J16" s="55">
        <v>25000</v>
      </c>
      <c r="K16" s="57">
        <v>25000</v>
      </c>
      <c r="M16" s="14" t="s">
        <v>2</v>
      </c>
      <c r="N16" s="2">
        <f>N14*N35</f>
        <v>8500</v>
      </c>
      <c r="O16" s="22">
        <f>O14*O35</f>
        <v>17000</v>
      </c>
    </row>
    <row r="17" spans="2:19" x14ac:dyDescent="0.25">
      <c r="B17" s="12" t="s">
        <v>68</v>
      </c>
      <c r="C17" s="13"/>
      <c r="D17" s="49" t="s">
        <v>29</v>
      </c>
      <c r="E17" s="54">
        <f>'QALY Expert'!U12</f>
        <v>16000</v>
      </c>
      <c r="F17" s="55">
        <v>8000</v>
      </c>
      <c r="G17" s="55">
        <v>8000</v>
      </c>
      <c r="H17" s="56">
        <v>8000</v>
      </c>
      <c r="J17" s="55">
        <v>8000</v>
      </c>
      <c r="K17" s="57">
        <v>8000</v>
      </c>
      <c r="M17" s="18" t="s">
        <v>49</v>
      </c>
      <c r="N17" s="2">
        <f>N14*4.5</f>
        <v>4.5</v>
      </c>
      <c r="O17" s="22">
        <f>O14*4.5</f>
        <v>9</v>
      </c>
    </row>
    <row r="18" spans="2:19" ht="15.75" thickBot="1" x14ac:dyDescent="0.3">
      <c r="B18" s="12" t="s">
        <v>69</v>
      </c>
      <c r="C18" s="13"/>
      <c r="D18" s="58" t="s">
        <v>30</v>
      </c>
      <c r="E18" s="59">
        <f>'QALY Expert'!U13</f>
        <v>470</v>
      </c>
      <c r="F18" s="60">
        <v>470</v>
      </c>
      <c r="G18" s="60">
        <v>470</v>
      </c>
      <c r="H18" s="61">
        <v>470</v>
      </c>
      <c r="J18" s="60">
        <v>470</v>
      </c>
      <c r="K18" s="62">
        <v>470</v>
      </c>
      <c r="M18" s="14" t="s">
        <v>8</v>
      </c>
      <c r="N18" s="2">
        <f>N17*N34</f>
        <v>1.89</v>
      </c>
      <c r="O18" s="22">
        <f>O17*O34</f>
        <v>12.600000000000001</v>
      </c>
    </row>
    <row r="19" spans="2:19" ht="15.75" thickBot="1" x14ac:dyDescent="0.3">
      <c r="B19" s="12" t="s">
        <v>70</v>
      </c>
      <c r="C19" s="13"/>
      <c r="D19" s="73" t="s">
        <v>31</v>
      </c>
      <c r="E19" s="78">
        <f>'QALY Expert'!D4</f>
        <v>10</v>
      </c>
      <c r="F19" s="79">
        <v>10</v>
      </c>
      <c r="G19" s="79">
        <v>5</v>
      </c>
      <c r="H19" s="80">
        <v>5</v>
      </c>
      <c r="J19" s="79">
        <v>10</v>
      </c>
      <c r="K19" s="81">
        <v>10</v>
      </c>
      <c r="M19" s="14" t="s">
        <v>9</v>
      </c>
      <c r="N19" s="2">
        <f>N17*N36</f>
        <v>112500</v>
      </c>
      <c r="O19" s="22">
        <f>O17*O36</f>
        <v>225000</v>
      </c>
    </row>
    <row r="20" spans="2:19" x14ac:dyDescent="0.25">
      <c r="B20" s="23" t="s">
        <v>71</v>
      </c>
      <c r="C20" s="13"/>
      <c r="D20" s="24" t="s">
        <v>32</v>
      </c>
      <c r="E20" s="50">
        <f>(E31*(E19/2)*1)+(E32*(E19/2)*'QALY Expert'!U5)</f>
        <v>51.869999999999983</v>
      </c>
      <c r="F20" s="51">
        <v>80</v>
      </c>
      <c r="G20" s="51">
        <f>(G31*(G19/2)*1)+(G32*(G19/2)*0.2)</f>
        <v>20.9</v>
      </c>
      <c r="H20" s="52">
        <f>(H31*(H19/2)*1)+(H32*(H19/2)*0.2)</f>
        <v>9.5094999999999992</v>
      </c>
      <c r="J20" s="51">
        <f>(J31*(J19/2)*1)+(J32*(J19/2)*0.2)</f>
        <v>104.5</v>
      </c>
      <c r="K20" s="53">
        <f>(K31*(K19/2)*1)+(K32*(K19/2)*0.2)</f>
        <v>156.75</v>
      </c>
      <c r="M20" s="14" t="s">
        <v>10</v>
      </c>
      <c r="N20" s="2">
        <f>N17*N37</f>
        <v>72000</v>
      </c>
      <c r="O20" s="22">
        <f>O17*O37</f>
        <v>324000</v>
      </c>
    </row>
    <row r="21" spans="2:19" x14ac:dyDescent="0.25">
      <c r="B21" s="12"/>
      <c r="C21" s="13"/>
      <c r="D21" s="24" t="s">
        <v>33</v>
      </c>
      <c r="E21" s="54">
        <f>E31*E15+E32*(((((E19/2)-1))*E17)+E16)</f>
        <v>22456979.999999993</v>
      </c>
      <c r="F21" s="55">
        <f>F31*8500+F32*(((((F19/2)-1))*8000)+25000)</f>
        <v>1803500</v>
      </c>
      <c r="G21" s="55">
        <f>G31*8500+G32*(((((G19/2)-1))*8000)+25000)</f>
        <v>770000</v>
      </c>
      <c r="H21" s="56">
        <f>H31*H15+H32*(((((H19/2)-1))*H17)+H16)</f>
        <v>350349.99999999994</v>
      </c>
      <c r="J21" s="55">
        <f>J31*8500+J32*(((((J19/2)-1))*8000)+25000)</f>
        <v>2915000</v>
      </c>
      <c r="K21" s="57">
        <f>K31*8500+K32*(((((K19/2)-1))*8000)+25000)</f>
        <v>4372500</v>
      </c>
      <c r="M21" s="14" t="s">
        <v>14</v>
      </c>
      <c r="N21" s="2">
        <f>N16+N19+N20</f>
        <v>193000</v>
      </c>
      <c r="O21" s="22">
        <f>O16+O19+O20</f>
        <v>566000</v>
      </c>
    </row>
    <row r="22" spans="2:19" x14ac:dyDescent="0.25">
      <c r="B22" s="12" t="s">
        <v>72</v>
      </c>
      <c r="C22" s="13"/>
      <c r="D22" s="24" t="s">
        <v>34</v>
      </c>
      <c r="E22" s="54">
        <f>E21/1000</f>
        <v>22456.979999999992</v>
      </c>
      <c r="F22" s="55">
        <f>F21/1000</f>
        <v>1803.5</v>
      </c>
      <c r="G22" s="55">
        <f>G21/1000</f>
        <v>770</v>
      </c>
      <c r="H22" s="56">
        <f>H21/1000</f>
        <v>350.34999999999997</v>
      </c>
      <c r="J22" s="55">
        <f>J21/1000</f>
        <v>2915</v>
      </c>
      <c r="K22" s="57">
        <f>K21/1000</f>
        <v>4372.5</v>
      </c>
      <c r="M22" s="14" t="s">
        <v>15</v>
      </c>
      <c r="N22" s="2">
        <f>N21/1000</f>
        <v>193</v>
      </c>
      <c r="O22" s="22">
        <f>O21/1000</f>
        <v>566</v>
      </c>
    </row>
    <row r="23" spans="2:19" x14ac:dyDescent="0.25">
      <c r="B23" s="12" t="s">
        <v>73</v>
      </c>
      <c r="C23" s="13"/>
      <c r="D23" s="18" t="s">
        <v>35</v>
      </c>
      <c r="E23" s="54">
        <f>E18*E19</f>
        <v>4700</v>
      </c>
      <c r="F23" s="55">
        <f>F18*F19</f>
        <v>4700</v>
      </c>
      <c r="G23" s="55">
        <f>G18*G19</f>
        <v>2350</v>
      </c>
      <c r="H23" s="56">
        <f>H18*H19</f>
        <v>2350</v>
      </c>
      <c r="J23" s="55">
        <f>J18*J19</f>
        <v>4700</v>
      </c>
      <c r="K23" s="57">
        <f>K18*K19</f>
        <v>4700</v>
      </c>
      <c r="M23" s="14" t="s">
        <v>16</v>
      </c>
      <c r="N23" s="2">
        <v>2350</v>
      </c>
      <c r="O23" s="22">
        <f>N23*2</f>
        <v>4700</v>
      </c>
    </row>
    <row r="24" spans="2:19" x14ac:dyDescent="0.25">
      <c r="B24" s="12" t="s">
        <v>74</v>
      </c>
      <c r="C24" s="13"/>
      <c r="D24" s="18" t="s">
        <v>36</v>
      </c>
      <c r="E24" s="54">
        <f>E23-E22</f>
        <v>-17756.979999999992</v>
      </c>
      <c r="F24" s="55">
        <f>F23-F22</f>
        <v>2896.5</v>
      </c>
      <c r="G24" s="55">
        <f>G23-G22</f>
        <v>1580</v>
      </c>
      <c r="H24" s="56">
        <f>H23-H22</f>
        <v>1999.65</v>
      </c>
      <c r="J24" s="55">
        <f>J23-J22</f>
        <v>1785</v>
      </c>
      <c r="K24" s="57">
        <f>K23-K22</f>
        <v>327.5</v>
      </c>
      <c r="M24" s="14" t="s">
        <v>17</v>
      </c>
      <c r="N24" s="2">
        <f>N23-N22</f>
        <v>2157</v>
      </c>
      <c r="O24" s="22">
        <f>O23-O22</f>
        <v>4134</v>
      </c>
    </row>
    <row r="25" spans="2:19" ht="15.75" thickBot="1" x14ac:dyDescent="0.3">
      <c r="B25" s="12" t="s">
        <v>75</v>
      </c>
      <c r="C25" s="13"/>
      <c r="D25" s="24" t="s">
        <v>37</v>
      </c>
      <c r="E25" s="25">
        <f>E24/(E20/1000)</f>
        <v>-342336.22517833038</v>
      </c>
      <c r="F25" s="26">
        <f>F24/(F20/1000)</f>
        <v>36206.25</v>
      </c>
      <c r="G25" s="26">
        <f>G24/(G20/1000)</f>
        <v>75598.086124401918</v>
      </c>
      <c r="H25" s="27">
        <f>H24/(H20/1000)</f>
        <v>210279.19448972083</v>
      </c>
      <c r="J25" s="26">
        <f>J24/(J20/1000)</f>
        <v>17081.33971291866</v>
      </c>
      <c r="K25" s="28">
        <f>K24/(K20/1000)</f>
        <v>2089.3141945773523</v>
      </c>
      <c r="M25" s="14" t="s">
        <v>11</v>
      </c>
      <c r="N25" s="2">
        <f>N15+N18</f>
        <v>3.8899999999999997</v>
      </c>
      <c r="O25" s="22">
        <f>O15+O18</f>
        <v>19.600000000000001</v>
      </c>
      <c r="S25" t="s">
        <v>1</v>
      </c>
    </row>
    <row r="26" spans="2:19" ht="15.75" thickBot="1" x14ac:dyDescent="0.3">
      <c r="B26" s="12" t="s">
        <v>76</v>
      </c>
      <c r="C26" s="13"/>
      <c r="D26" s="73" t="s">
        <v>83</v>
      </c>
      <c r="E26" s="74">
        <f>'QALY Expert'!U8</f>
        <v>1.8199999999999998</v>
      </c>
      <c r="F26" s="75">
        <v>5</v>
      </c>
      <c r="G26" s="75">
        <v>2</v>
      </c>
      <c r="H26" s="76">
        <v>0.91</v>
      </c>
      <c r="J26" s="75">
        <v>5</v>
      </c>
      <c r="K26" s="77">
        <v>7.5</v>
      </c>
      <c r="M26" s="14" t="s">
        <v>12</v>
      </c>
      <c r="N26" s="2">
        <f>N25/1000</f>
        <v>3.8899999999999998E-3</v>
      </c>
      <c r="O26" s="22">
        <f>O25/1000</f>
        <v>1.9600000000000003E-2</v>
      </c>
      <c r="R26" s="29" t="s">
        <v>1</v>
      </c>
    </row>
    <row r="27" spans="2:19" ht="15.75" thickBot="1" x14ac:dyDescent="0.3">
      <c r="B27" s="12" t="s">
        <v>77</v>
      </c>
      <c r="C27" s="13"/>
      <c r="D27" s="18" t="s">
        <v>38</v>
      </c>
      <c r="E27" s="63">
        <v>1000</v>
      </c>
      <c r="F27" s="35">
        <v>1000</v>
      </c>
      <c r="G27" s="35">
        <v>1000</v>
      </c>
      <c r="H27" s="19">
        <v>1000</v>
      </c>
      <c r="J27" s="35">
        <v>1000</v>
      </c>
      <c r="K27" s="64">
        <v>1000</v>
      </c>
      <c r="M27" s="30" t="s">
        <v>13</v>
      </c>
      <c r="N27" s="31">
        <f>N24/(N25/1000)</f>
        <v>554498.71465295635</v>
      </c>
      <c r="O27" s="32">
        <f>O24/(O25/1000)</f>
        <v>210918.36734693876</v>
      </c>
      <c r="Q27" t="s">
        <v>1</v>
      </c>
      <c r="R27" t="s">
        <v>1</v>
      </c>
    </row>
    <row r="28" spans="2:19" x14ac:dyDescent="0.25">
      <c r="B28" s="23" t="s">
        <v>78</v>
      </c>
      <c r="C28" s="13"/>
      <c r="D28" s="18" t="s">
        <v>39</v>
      </c>
      <c r="E28" s="69">
        <f>E26/100*E27</f>
        <v>18.199999999999996</v>
      </c>
      <c r="F28" s="70">
        <f>F26/100*F27</f>
        <v>50</v>
      </c>
      <c r="G28" s="70">
        <f>G26/100*G27</f>
        <v>20</v>
      </c>
      <c r="H28" s="71">
        <f>H26/100*H27</f>
        <v>9.1</v>
      </c>
      <c r="J28" s="70">
        <f>J26/100*J27</f>
        <v>50</v>
      </c>
      <c r="K28" s="72">
        <f>K26/100*K27</f>
        <v>75</v>
      </c>
      <c r="M28" s="14" t="s">
        <v>1</v>
      </c>
      <c r="N28" s="33" t="s">
        <v>18</v>
      </c>
      <c r="O28" s="34" t="s">
        <v>18</v>
      </c>
      <c r="Q28" t="s">
        <v>1</v>
      </c>
      <c r="R28" t="s">
        <v>1</v>
      </c>
      <c r="S28" t="s">
        <v>1</v>
      </c>
    </row>
    <row r="29" spans="2:19" x14ac:dyDescent="0.25">
      <c r="B29" s="12"/>
      <c r="C29" s="13"/>
      <c r="D29" s="18" t="s">
        <v>40</v>
      </c>
      <c r="E29" s="69">
        <f>E28*'QALY Expert'!U9</f>
        <v>81.899999999999977</v>
      </c>
      <c r="F29" s="70">
        <v>150</v>
      </c>
      <c r="G29" s="70">
        <f>(G28/2)*9</f>
        <v>90</v>
      </c>
      <c r="H29" s="71">
        <f>(H28/2)*9</f>
        <v>40.949999999999996</v>
      </c>
      <c r="J29" s="70">
        <f>(J28/2)*9</f>
        <v>225</v>
      </c>
      <c r="K29" s="72">
        <f>(K28/2)*9</f>
        <v>337.5</v>
      </c>
      <c r="M29" s="14"/>
      <c r="O29" s="22"/>
    </row>
    <row r="30" spans="2:19" ht="15.75" thickBot="1" x14ac:dyDescent="0.3">
      <c r="B30" s="23" t="s">
        <v>55</v>
      </c>
      <c r="C30" s="13"/>
      <c r="D30" s="24" t="s">
        <v>41</v>
      </c>
      <c r="E30" s="69">
        <f>E28+E29</f>
        <v>100.09999999999997</v>
      </c>
      <c r="F30" s="70">
        <f>F28+F29</f>
        <v>200</v>
      </c>
      <c r="G30" s="70">
        <f>G28+G29</f>
        <v>110</v>
      </c>
      <c r="H30" s="71">
        <f>H28+H29</f>
        <v>50.05</v>
      </c>
      <c r="J30" s="70">
        <f>J28+J29</f>
        <v>275</v>
      </c>
      <c r="K30" s="72">
        <f>K28+K29</f>
        <v>412.5</v>
      </c>
      <c r="M30" s="18" t="s">
        <v>53</v>
      </c>
      <c r="N30" s="35" t="s">
        <v>3</v>
      </c>
      <c r="O30" s="19" t="s">
        <v>4</v>
      </c>
    </row>
    <row r="31" spans="2:19" ht="15.75" thickBot="1" x14ac:dyDescent="0.3">
      <c r="B31" s="23" t="s">
        <v>79</v>
      </c>
      <c r="C31" s="13"/>
      <c r="D31" s="36" t="s">
        <v>42</v>
      </c>
      <c r="E31" s="85">
        <f>E28*'QALY Expert'!U10</f>
        <v>5.4599999999999982</v>
      </c>
      <c r="F31" s="83">
        <f>F28*0.22</f>
        <v>11</v>
      </c>
      <c r="G31" s="83">
        <f>G28*0.22</f>
        <v>4.4000000000000004</v>
      </c>
      <c r="H31" s="84">
        <f>H28*0.22</f>
        <v>2.0019999999999998</v>
      </c>
      <c r="J31" s="66">
        <f>J28*0.22</f>
        <v>11</v>
      </c>
      <c r="K31" s="68">
        <f>K28*0.22</f>
        <v>16.5</v>
      </c>
      <c r="M31" s="14" t="s">
        <v>5</v>
      </c>
      <c r="N31" s="2">
        <v>3</v>
      </c>
      <c r="O31" s="22">
        <v>4.5</v>
      </c>
    </row>
    <row r="32" spans="2:19" x14ac:dyDescent="0.25">
      <c r="B32" s="23" t="s">
        <v>80</v>
      </c>
      <c r="C32" s="13"/>
      <c r="D32" s="18" t="s">
        <v>43</v>
      </c>
      <c r="E32" s="50">
        <f>E29*'QALY Expert'!U10</f>
        <v>24.569999999999993</v>
      </c>
      <c r="F32" s="51">
        <v>30</v>
      </c>
      <c r="G32" s="51">
        <f>G29*0.22</f>
        <v>19.8</v>
      </c>
      <c r="H32" s="71">
        <f>H29*0.22</f>
        <v>9.0089999999999986</v>
      </c>
      <c r="J32" s="70">
        <f>J29*0.22</f>
        <v>49.5</v>
      </c>
      <c r="K32" s="72">
        <f>K29*0.22</f>
        <v>74.25</v>
      </c>
      <c r="M32" s="14" t="s">
        <v>22</v>
      </c>
      <c r="N32" s="2">
        <v>2</v>
      </c>
      <c r="O32" s="22">
        <v>3.5</v>
      </c>
    </row>
    <row r="33" spans="2:15" x14ac:dyDescent="0.25">
      <c r="B33" s="23" t="s">
        <v>81</v>
      </c>
      <c r="C33" s="13"/>
      <c r="D33" s="24" t="s">
        <v>51</v>
      </c>
      <c r="E33" s="50">
        <f>E31+E32</f>
        <v>30.02999999999999</v>
      </c>
      <c r="F33" s="51">
        <v>40</v>
      </c>
      <c r="G33" s="51">
        <f>G31+G32</f>
        <v>24.200000000000003</v>
      </c>
      <c r="H33" s="71">
        <f>H31+H32</f>
        <v>11.010999999999999</v>
      </c>
      <c r="J33" s="70">
        <f>J31+J32</f>
        <v>60.5</v>
      </c>
      <c r="K33" s="72">
        <f>K31+K32</f>
        <v>90.75</v>
      </c>
      <c r="M33" s="14" t="s">
        <v>21</v>
      </c>
      <c r="N33" s="37">
        <v>0.6</v>
      </c>
      <c r="O33" s="38">
        <v>1.6</v>
      </c>
    </row>
    <row r="34" spans="2:15" x14ac:dyDescent="0.25">
      <c r="B34" s="12" t="s">
        <v>82</v>
      </c>
      <c r="C34" s="13"/>
      <c r="D34" s="18" t="s">
        <v>44</v>
      </c>
      <c r="E34" s="50">
        <f>(E28+E29)/E27*100</f>
        <v>10.009999999999996</v>
      </c>
      <c r="F34" s="70">
        <f>(F28+F29)/F27*100</f>
        <v>20</v>
      </c>
      <c r="G34" s="51">
        <f>(G28+G29)/G27*100</f>
        <v>11</v>
      </c>
      <c r="H34" s="71">
        <f>(H28+H29)/H27*100</f>
        <v>5.0049999999999999</v>
      </c>
      <c r="J34" s="70">
        <f>(J28+J29)/J27*100</f>
        <v>27.500000000000004</v>
      </c>
      <c r="K34" s="72">
        <f>(K28+K29)/K27*100</f>
        <v>41.25</v>
      </c>
      <c r="M34" s="14" t="s">
        <v>23</v>
      </c>
      <c r="N34" s="37">
        <v>0.42</v>
      </c>
      <c r="O34" s="38">
        <v>1.4000000000000001</v>
      </c>
    </row>
    <row r="35" spans="2:15" ht="15.75" thickBot="1" x14ac:dyDescent="0.3">
      <c r="B35" s="12"/>
      <c r="C35" s="13"/>
      <c r="D35" s="18" t="s">
        <v>45</v>
      </c>
      <c r="E35" s="50">
        <f>(E31+E32)/E27*100</f>
        <v>3.0029999999999992</v>
      </c>
      <c r="F35" s="51">
        <f>(F31+F32)/F27*100</f>
        <v>4.1000000000000005</v>
      </c>
      <c r="G35" s="51">
        <f>(G31+G32)/G27*100</f>
        <v>2.4200000000000004</v>
      </c>
      <c r="H35" s="71">
        <f>(H31+H32)/H27*100</f>
        <v>1.1011</v>
      </c>
      <c r="J35" s="70">
        <f>(J31+J32)/J27*100</f>
        <v>6.05</v>
      </c>
      <c r="K35" s="72">
        <f>(K31+K32)/K27*100</f>
        <v>9.0749999999999993</v>
      </c>
      <c r="M35" s="14" t="s">
        <v>0</v>
      </c>
      <c r="N35" s="2">
        <v>8500</v>
      </c>
      <c r="O35" s="22">
        <v>8500</v>
      </c>
    </row>
    <row r="36" spans="2:15" ht="15.75" thickBot="1" x14ac:dyDescent="0.3">
      <c r="B36" s="12"/>
      <c r="C36" s="13"/>
      <c r="D36" s="36" t="s">
        <v>46</v>
      </c>
      <c r="E36" s="65">
        <f>100/E35</f>
        <v>33.300033300033306</v>
      </c>
      <c r="F36" s="66">
        <f>100/F35</f>
        <v>24.390243902439021</v>
      </c>
      <c r="G36" s="83">
        <f>100/G35</f>
        <v>41.322314049586772</v>
      </c>
      <c r="H36" s="67">
        <f>100/H35</f>
        <v>90.818272636454452</v>
      </c>
      <c r="J36" s="66">
        <f>100/J35</f>
        <v>16.528925619834713</v>
      </c>
      <c r="K36" s="68">
        <f>100/K35</f>
        <v>11.019283746556475</v>
      </c>
      <c r="M36" s="14" t="s">
        <v>6</v>
      </c>
      <c r="N36" s="2">
        <v>25000</v>
      </c>
      <c r="O36" s="22">
        <v>25000</v>
      </c>
    </row>
    <row r="37" spans="2:15" ht="15.75" thickBot="1" x14ac:dyDescent="0.3">
      <c r="B37" s="39"/>
      <c r="C37" s="40"/>
      <c r="I37" s="2"/>
      <c r="M37" s="41" t="s">
        <v>7</v>
      </c>
      <c r="N37" s="42">
        <v>16000</v>
      </c>
      <c r="O37" s="43">
        <v>36000</v>
      </c>
    </row>
    <row r="38" spans="2:15" x14ac:dyDescent="0.25">
      <c r="D38" t="s">
        <v>1</v>
      </c>
    </row>
    <row r="39" spans="2:15" x14ac:dyDescent="0.25">
      <c r="M39"/>
      <c r="N39"/>
    </row>
    <row r="40" spans="2:15" x14ac:dyDescent="0.25">
      <c r="M40"/>
      <c r="N40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QALY Expert</vt:lpstr>
      <vt:lpstr>VARIFO QALY SMB Calculator</vt:lpstr>
    </vt:vector>
  </TitlesOfParts>
  <Company>Kardiolab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Romanens Michel</dc:creator>
  <cp:lastModifiedBy>Romanens Michel</cp:lastModifiedBy>
  <cp:lastPrinted>2014-12-08T20:34:24Z</cp:lastPrinted>
  <dcterms:created xsi:type="dcterms:W3CDTF">2014-12-06T18:08:47Z</dcterms:created>
  <dcterms:modified xsi:type="dcterms:W3CDTF">2023-05-28T20:08:50Z</dcterms:modified>
</cp:coreProperties>
</file>