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C:\Users\miche\Nextcloud5\HOCHLADEN\"/>
    </mc:Choice>
  </mc:AlternateContent>
  <xr:revisionPtr revIDLastSave="0" documentId="13_ncr:1_{845BEB7E-2548-4E56-9B72-23E6D83CC0AB}" xr6:coauthVersionLast="47" xr6:coauthVersionMax="47" xr10:uidLastSave="{00000000-0000-0000-0000-000000000000}"/>
  <bookViews>
    <workbookView xWindow="-120" yWindow="-120" windowWidth="29040" windowHeight="15720" activeTab="1" xr2:uid="{00000000-000D-0000-FFFF-FFFF00000000}"/>
  </bookViews>
  <sheets>
    <sheet name="DISCUSSION" sheetId="3" r:id="rId1"/>
    <sheet name="EXPERT" sheetId="10" r:id="rId2"/>
    <sheet name="QALYCOPY" sheetId="11" r:id="rId3"/>
    <sheet name="DISCOUNT" sheetId="12" r:id="rId4"/>
    <sheet name="QALY" sheetId="1" r:id="rId5"/>
    <sheet name="OPEN Q" sheetId="8" r:id="rId6"/>
    <sheet name="INDEX" sheetId="4" r:id="rId7"/>
    <sheet name="MODELL" sheetId="5" r:id="rId8"/>
    <sheet name="WIRKUNG" sheetId="6" r:id="rId9"/>
    <sheet name="Panel SMB" sheetId="9" r:id="rId10"/>
    <sheet name="BAYES" sheetId="2" r:id="rId11"/>
    <sheet name="Gutzwiller1999" sheetId="7" r:id="rId12"/>
  </sheets>
  <definedNames>
    <definedName name="_xlnm.Print_Area" localSheetId="0">DISCUSSION!$A$1:$E$73</definedName>
  </definedNames>
  <calcPr calcId="191029"/>
</workbook>
</file>

<file path=xl/calcChain.xml><?xml version="1.0" encoding="utf-8"?>
<calcChain xmlns="http://schemas.openxmlformats.org/spreadsheetml/2006/main">
  <c r="E14" i="10" l="1"/>
  <c r="G97" i="3"/>
  <c r="B12" i="11"/>
  <c r="C4" i="12"/>
  <c r="D4" i="12" s="1"/>
  <c r="E4" i="12" s="1"/>
  <c r="C5" i="12" s="1"/>
  <c r="A38" i="11"/>
  <c r="D38" i="11" s="1"/>
  <c r="A22" i="11"/>
  <c r="D22" i="11"/>
  <c r="G16" i="10"/>
  <c r="E12" i="10"/>
  <c r="X15" i="11"/>
  <c r="X14" i="11"/>
  <c r="Y14" i="11"/>
  <c r="U18" i="11"/>
  <c r="V18" i="11" s="1"/>
  <c r="V21" i="11" s="1"/>
  <c r="H6" i="10"/>
  <c r="I51" i="10"/>
  <c r="D21" i="11" s="1"/>
  <c r="I52" i="10"/>
  <c r="C32" i="11" s="1"/>
  <c r="C35" i="11" s="1"/>
  <c r="N15" i="7"/>
  <c r="O93" i="11"/>
  <c r="N93" i="11"/>
  <c r="M93" i="11"/>
  <c r="L93" i="11"/>
  <c r="K93" i="11"/>
  <c r="J93" i="11"/>
  <c r="I93" i="11"/>
  <c r="F93" i="11"/>
  <c r="E93" i="11"/>
  <c r="C93" i="11"/>
  <c r="B93" i="11"/>
  <c r="L91" i="11"/>
  <c r="K91" i="11"/>
  <c r="H91" i="11"/>
  <c r="H93" i="11" s="1"/>
  <c r="G91" i="11"/>
  <c r="G93" i="11" s="1"/>
  <c r="D91" i="11"/>
  <c r="D93" i="11" s="1"/>
  <c r="A91" i="11"/>
  <c r="A93" i="11" s="1"/>
  <c r="H88" i="11"/>
  <c r="G88" i="11"/>
  <c r="F88" i="11"/>
  <c r="E88" i="11"/>
  <c r="D88" i="11"/>
  <c r="C88" i="11"/>
  <c r="B88" i="11"/>
  <c r="I88" i="11" s="1"/>
  <c r="P88" i="11" s="1"/>
  <c r="E86" i="11"/>
  <c r="D86" i="11"/>
  <c r="O79" i="11"/>
  <c r="N79" i="11"/>
  <c r="M79" i="11"/>
  <c r="J79" i="11"/>
  <c r="I79" i="11"/>
  <c r="G79" i="11"/>
  <c r="F79" i="11"/>
  <c r="E79" i="11"/>
  <c r="D79" i="11"/>
  <c r="C79" i="11"/>
  <c r="B79" i="11"/>
  <c r="L77" i="11"/>
  <c r="L79" i="11" s="1"/>
  <c r="K77" i="11"/>
  <c r="K79" i="11" s="1"/>
  <c r="H77" i="11"/>
  <c r="H79" i="11" s="1"/>
  <c r="G77" i="11"/>
  <c r="H74" i="11"/>
  <c r="G74" i="11"/>
  <c r="F74" i="11"/>
  <c r="E74" i="11"/>
  <c r="D74" i="11"/>
  <c r="C74" i="11"/>
  <c r="I74" i="11" s="1"/>
  <c r="P74" i="11" s="1"/>
  <c r="B74" i="11"/>
  <c r="E72" i="11"/>
  <c r="D72" i="11"/>
  <c r="K71" i="11"/>
  <c r="C64" i="11"/>
  <c r="O60" i="11"/>
  <c r="N60" i="11"/>
  <c r="M60" i="11"/>
  <c r="L60" i="11"/>
  <c r="K60" i="11"/>
  <c r="J60" i="11"/>
  <c r="I60" i="11"/>
  <c r="F60" i="11"/>
  <c r="E60" i="11"/>
  <c r="C60" i="11"/>
  <c r="C61" i="11" s="1"/>
  <c r="L58" i="11"/>
  <c r="K58" i="11"/>
  <c r="H58" i="11"/>
  <c r="H60" i="11" s="1"/>
  <c r="G58" i="11"/>
  <c r="G60" i="11" s="1"/>
  <c r="D58" i="11"/>
  <c r="D60" i="11" s="1"/>
  <c r="A58" i="11"/>
  <c r="A60" i="11" s="1"/>
  <c r="S57" i="11"/>
  <c r="B57" i="11"/>
  <c r="B60" i="11" s="1"/>
  <c r="Y56" i="11"/>
  <c r="Y55" i="11"/>
  <c r="V55" i="11"/>
  <c r="I55" i="11"/>
  <c r="H55" i="11"/>
  <c r="G55" i="11"/>
  <c r="D55" i="11"/>
  <c r="C55" i="11"/>
  <c r="B55" i="11"/>
  <c r="V54" i="11"/>
  <c r="Y54" i="11" s="1"/>
  <c r="Y53" i="11"/>
  <c r="Y57" i="11" s="1"/>
  <c r="F53" i="11"/>
  <c r="F55" i="11" s="1"/>
  <c r="E53" i="11"/>
  <c r="E55" i="11" s="1"/>
  <c r="P52" i="11"/>
  <c r="M49" i="11"/>
  <c r="C48" i="11"/>
  <c r="J46" i="11"/>
  <c r="D45" i="11"/>
  <c r="D48" i="11" s="1"/>
  <c r="O40" i="11"/>
  <c r="N40" i="11"/>
  <c r="M40" i="11"/>
  <c r="L40" i="11"/>
  <c r="K40" i="11"/>
  <c r="J40" i="11"/>
  <c r="I40" i="11"/>
  <c r="F40" i="11"/>
  <c r="L38" i="11"/>
  <c r="K38" i="11"/>
  <c r="H38" i="11"/>
  <c r="H40" i="11" s="1"/>
  <c r="G38" i="11"/>
  <c r="G40" i="11" s="1"/>
  <c r="I35" i="11"/>
  <c r="H35" i="11"/>
  <c r="G35" i="11"/>
  <c r="F35" i="11"/>
  <c r="E35" i="11"/>
  <c r="D35" i="11"/>
  <c r="F33" i="11"/>
  <c r="E33" i="11"/>
  <c r="Y32" i="11"/>
  <c r="Y31" i="11"/>
  <c r="Y30" i="11"/>
  <c r="O24" i="11"/>
  <c r="N24" i="11"/>
  <c r="M24" i="11"/>
  <c r="J24" i="11"/>
  <c r="I24" i="11"/>
  <c r="H24" i="11"/>
  <c r="G24" i="11"/>
  <c r="F24" i="11"/>
  <c r="L22" i="11"/>
  <c r="L24" i="11" s="1"/>
  <c r="K22" i="11"/>
  <c r="K24" i="11" s="1"/>
  <c r="H22" i="11"/>
  <c r="G22" i="11"/>
  <c r="O19" i="11"/>
  <c r="N19" i="11"/>
  <c r="I19" i="11"/>
  <c r="G19" i="11"/>
  <c r="F19" i="11"/>
  <c r="B19" i="11"/>
  <c r="B28" i="11" s="1"/>
  <c r="H17" i="11"/>
  <c r="H19" i="11" s="1"/>
  <c r="P19" i="11" s="1"/>
  <c r="G17" i="11"/>
  <c r="O10" i="11"/>
  <c r="N10" i="11"/>
  <c r="M10" i="11"/>
  <c r="L10" i="11"/>
  <c r="K10" i="11"/>
  <c r="J10" i="11"/>
  <c r="I10" i="11"/>
  <c r="F10" i="11"/>
  <c r="E10" i="11"/>
  <c r="D10" i="11"/>
  <c r="C10" i="11"/>
  <c r="P10" i="11" s="1"/>
  <c r="B10" i="11"/>
  <c r="L8" i="11"/>
  <c r="K8" i="11"/>
  <c r="H8" i="11"/>
  <c r="H10" i="11" s="1"/>
  <c r="G8" i="11"/>
  <c r="G10" i="11" s="1"/>
  <c r="O5" i="11"/>
  <c r="N5" i="11"/>
  <c r="I5" i="11"/>
  <c r="F5" i="11"/>
  <c r="B5" i="11"/>
  <c r="H3" i="11"/>
  <c r="H5" i="11" s="1"/>
  <c r="G3" i="11"/>
  <c r="G5" i="11" s="1"/>
  <c r="P5" i="11" s="1"/>
  <c r="R2" i="11"/>
  <c r="Y25" i="1"/>
  <c r="Y24" i="1"/>
  <c r="Y22" i="1"/>
  <c r="Y21" i="1"/>
  <c r="P24" i="1"/>
  <c r="P26" i="1" s="1"/>
  <c r="P19" i="1"/>
  <c r="Z15" i="1"/>
  <c r="P5" i="1"/>
  <c r="B79" i="1"/>
  <c r="A22" i="1"/>
  <c r="A24" i="1" s="1"/>
  <c r="O93" i="1"/>
  <c r="N93" i="1"/>
  <c r="M93" i="1"/>
  <c r="J93" i="1"/>
  <c r="I93" i="1"/>
  <c r="F93" i="1"/>
  <c r="E93" i="1"/>
  <c r="C93" i="1"/>
  <c r="B93" i="1"/>
  <c r="L91" i="1"/>
  <c r="L93" i="1" s="1"/>
  <c r="K91" i="1"/>
  <c r="K93" i="1" s="1"/>
  <c r="H91" i="1"/>
  <c r="H93" i="1" s="1"/>
  <c r="G91" i="1"/>
  <c r="G93" i="1" s="1"/>
  <c r="D91" i="1"/>
  <c r="D93" i="1" s="1"/>
  <c r="A91" i="1"/>
  <c r="A93" i="1" s="1"/>
  <c r="H88" i="1"/>
  <c r="G88" i="1"/>
  <c r="F88" i="1"/>
  <c r="E88" i="1"/>
  <c r="D88" i="1"/>
  <c r="C88" i="1"/>
  <c r="B88" i="1"/>
  <c r="E86" i="1"/>
  <c r="D86" i="1"/>
  <c r="O79" i="1"/>
  <c r="N79" i="1"/>
  <c r="M79" i="1"/>
  <c r="J79" i="1"/>
  <c r="I79" i="1"/>
  <c r="H79" i="1"/>
  <c r="F79" i="1"/>
  <c r="E79" i="1"/>
  <c r="D79" i="1"/>
  <c r="C79" i="1"/>
  <c r="L77" i="1"/>
  <c r="L79" i="1" s="1"/>
  <c r="K77" i="1"/>
  <c r="K79" i="1" s="1"/>
  <c r="H77" i="1"/>
  <c r="G77" i="1"/>
  <c r="G79" i="1" s="1"/>
  <c r="H74" i="1"/>
  <c r="G74" i="1"/>
  <c r="F74" i="1"/>
  <c r="D74" i="1"/>
  <c r="C74" i="1"/>
  <c r="B74" i="1"/>
  <c r="E72" i="1"/>
  <c r="E74" i="1" s="1"/>
  <c r="D72" i="1"/>
  <c r="K71" i="1"/>
  <c r="B5" i="1"/>
  <c r="B57" i="1"/>
  <c r="B60" i="1" s="1"/>
  <c r="R2" i="1"/>
  <c r="R10" i="1" s="1"/>
  <c r="M49" i="1"/>
  <c r="A58" i="1"/>
  <c r="V55" i="1"/>
  <c r="Y55" i="1" s="1"/>
  <c r="V54" i="1"/>
  <c r="Y54" i="1" s="1"/>
  <c r="M11" i="5"/>
  <c r="O15" i="5"/>
  <c r="N15" i="5"/>
  <c r="S57" i="1"/>
  <c r="Y56" i="1"/>
  <c r="Y53" i="1"/>
  <c r="Y32" i="1"/>
  <c r="Y31" i="1"/>
  <c r="Y30" i="1"/>
  <c r="P52" i="1"/>
  <c r="V18" i="1"/>
  <c r="V21" i="1" s="1"/>
  <c r="Z14" i="1"/>
  <c r="G38" i="2"/>
  <c r="G32" i="2"/>
  <c r="B14" i="7"/>
  <c r="C10" i="2"/>
  <c r="K2" i="7"/>
  <c r="B17" i="7" s="1"/>
  <c r="J2" i="7"/>
  <c r="I2" i="7"/>
  <c r="H2" i="7"/>
  <c r="G2" i="7"/>
  <c r="F2" i="7"/>
  <c r="M2" i="7" s="1"/>
  <c r="K2" i="2"/>
  <c r="B13" i="2" s="1"/>
  <c r="J2" i="2"/>
  <c r="I2" i="2"/>
  <c r="H2" i="2"/>
  <c r="G2" i="2"/>
  <c r="F2" i="2"/>
  <c r="M2" i="2" s="1"/>
  <c r="C38" i="2"/>
  <c r="C32" i="2"/>
  <c r="D60" i="3"/>
  <c r="D52" i="3"/>
  <c r="D28" i="3"/>
  <c r="C35" i="1"/>
  <c r="D35" i="1"/>
  <c r="G35" i="1"/>
  <c r="H35" i="1"/>
  <c r="I35" i="1"/>
  <c r="C40" i="1"/>
  <c r="E40" i="1"/>
  <c r="F40" i="1"/>
  <c r="I40" i="1"/>
  <c r="J40" i="1"/>
  <c r="M40" i="1"/>
  <c r="N40" i="1"/>
  <c r="O40" i="1"/>
  <c r="C10" i="1"/>
  <c r="D10" i="1"/>
  <c r="E10" i="1"/>
  <c r="F10" i="1"/>
  <c r="I19" i="1"/>
  <c r="N19" i="1"/>
  <c r="O19" i="1"/>
  <c r="E24" i="1"/>
  <c r="F24" i="1"/>
  <c r="E60" i="1"/>
  <c r="F60" i="1"/>
  <c r="I60" i="1"/>
  <c r="J60" i="1"/>
  <c r="M60" i="1"/>
  <c r="N60" i="1"/>
  <c r="O60" i="1"/>
  <c r="C55" i="1"/>
  <c r="D55" i="1"/>
  <c r="G55" i="1"/>
  <c r="H55" i="1"/>
  <c r="I55" i="1"/>
  <c r="C64" i="1"/>
  <c r="J46" i="1"/>
  <c r="D58" i="1"/>
  <c r="D60" i="1" s="1"/>
  <c r="G58" i="1"/>
  <c r="G60" i="1"/>
  <c r="H58" i="1"/>
  <c r="H60" i="1" s="1"/>
  <c r="K58" i="1"/>
  <c r="K60" i="1" s="1"/>
  <c r="L58" i="1"/>
  <c r="L60" i="1" s="1"/>
  <c r="B55" i="1"/>
  <c r="E53" i="1"/>
  <c r="E55" i="1" s="1"/>
  <c r="F53" i="1"/>
  <c r="F55" i="1" s="1"/>
  <c r="B35" i="1"/>
  <c r="C48" i="1"/>
  <c r="D45" i="1"/>
  <c r="D48" i="1" s="1"/>
  <c r="B40" i="1"/>
  <c r="L38" i="1"/>
  <c r="L40" i="1" s="1"/>
  <c r="K38" i="1"/>
  <c r="K40" i="1" s="1"/>
  <c r="H38" i="1"/>
  <c r="H40" i="1" s="1"/>
  <c r="G38" i="1"/>
  <c r="G40" i="1" s="1"/>
  <c r="D38" i="1"/>
  <c r="D40" i="1" s="1"/>
  <c r="C41" i="1" s="1"/>
  <c r="A38" i="1"/>
  <c r="A40" i="1" s="1"/>
  <c r="F33" i="1"/>
  <c r="F35" i="1" s="1"/>
  <c r="E33" i="1"/>
  <c r="E35" i="1" s="1"/>
  <c r="D22" i="1"/>
  <c r="D24" i="1"/>
  <c r="O24" i="1"/>
  <c r="N24" i="1"/>
  <c r="M24" i="1"/>
  <c r="J24" i="1"/>
  <c r="I24" i="1"/>
  <c r="C24" i="1"/>
  <c r="B24" i="1"/>
  <c r="L22" i="1"/>
  <c r="L24" i="1" s="1"/>
  <c r="K22" i="1"/>
  <c r="K24" i="1" s="1"/>
  <c r="H22" i="1"/>
  <c r="H24" i="1" s="1"/>
  <c r="G22" i="1"/>
  <c r="G24" i="1" s="1"/>
  <c r="F19" i="1"/>
  <c r="B19" i="1"/>
  <c r="B28" i="1" s="1"/>
  <c r="H17" i="1"/>
  <c r="H19" i="1" s="1"/>
  <c r="G17" i="1"/>
  <c r="G19" i="1" s="1"/>
  <c r="I10" i="1"/>
  <c r="H8" i="1"/>
  <c r="H10" i="1"/>
  <c r="G8" i="1"/>
  <c r="G10" i="1" s="1"/>
  <c r="O10" i="1"/>
  <c r="M10" i="1"/>
  <c r="J10" i="1"/>
  <c r="B10" i="1"/>
  <c r="L8" i="1"/>
  <c r="L10" i="1" s="1"/>
  <c r="K8" i="1"/>
  <c r="K10" i="1"/>
  <c r="G3" i="1"/>
  <c r="G5" i="1" s="1"/>
  <c r="O5" i="1"/>
  <c r="N5" i="1"/>
  <c r="I5" i="1"/>
  <c r="F5" i="1"/>
  <c r="H3" i="1"/>
  <c r="H5" i="1" s="1"/>
  <c r="L2" i="7"/>
  <c r="B18" i="7"/>
  <c r="B17" i="2"/>
  <c r="L2" i="2"/>
  <c r="B20" i="7"/>
  <c r="B19" i="2"/>
  <c r="N2" i="2"/>
  <c r="N2" i="7"/>
  <c r="B16" i="2"/>
  <c r="D5" i="12" l="1"/>
  <c r="D37" i="11"/>
  <c r="D40" i="11" s="1"/>
  <c r="E37" i="11"/>
  <c r="E40" i="11" s="1"/>
  <c r="C37" i="11"/>
  <c r="C40" i="11" s="1"/>
  <c r="A40" i="11"/>
  <c r="D24" i="11"/>
  <c r="Z14" i="11"/>
  <c r="R5" i="11" s="1"/>
  <c r="Y22" i="11"/>
  <c r="Y24" i="11" s="1"/>
  <c r="C21" i="11"/>
  <c r="E21" i="11"/>
  <c r="E24" i="11" s="1"/>
  <c r="A21" i="11"/>
  <c r="A24" i="11" s="1"/>
  <c r="B32" i="11"/>
  <c r="B35" i="11" s="1"/>
  <c r="C28" i="11" s="1"/>
  <c r="D28" i="11" s="1"/>
  <c r="E28" i="11" s="1"/>
  <c r="P79" i="11"/>
  <c r="P81" i="11" s="1"/>
  <c r="B81" i="11" s="1"/>
  <c r="P12" i="11"/>
  <c r="J55" i="11"/>
  <c r="P55" i="11" s="1"/>
  <c r="P56" i="11" s="1"/>
  <c r="P60" i="11"/>
  <c r="P62" i="11" s="1"/>
  <c r="Y21" i="11"/>
  <c r="C94" i="11"/>
  <c r="P93" i="11"/>
  <c r="P95" i="11" s="1"/>
  <c r="P96" i="11" s="1"/>
  <c r="B96" i="11" s="1"/>
  <c r="P57" i="11"/>
  <c r="B18" i="2"/>
  <c r="B19" i="7"/>
  <c r="C25" i="1"/>
  <c r="P79" i="1"/>
  <c r="I88" i="1"/>
  <c r="P88" i="1" s="1"/>
  <c r="C94" i="1"/>
  <c r="P93" i="1"/>
  <c r="I74" i="1"/>
  <c r="P74" i="1" s="1"/>
  <c r="P81" i="1" s="1"/>
  <c r="B81" i="1" s="1"/>
  <c r="Y57" i="1"/>
  <c r="C28" i="1"/>
  <c r="D28" i="1" s="1"/>
  <c r="E28" i="1" s="1"/>
  <c r="R5" i="1"/>
  <c r="R12" i="1" s="1"/>
  <c r="N10" i="1"/>
  <c r="P10" i="1" s="1"/>
  <c r="J55" i="1"/>
  <c r="P55" i="1" s="1"/>
  <c r="P56" i="1" s="1"/>
  <c r="J35" i="1"/>
  <c r="P35" i="1" s="1"/>
  <c r="P40" i="1"/>
  <c r="P42" i="1" s="1"/>
  <c r="B44" i="1" s="1"/>
  <c r="E5" i="12" l="1"/>
  <c r="C6" i="12" s="1"/>
  <c r="C41" i="11"/>
  <c r="B21" i="11"/>
  <c r="B37" i="11"/>
  <c r="B40" i="11" s="1"/>
  <c r="P40" i="11" s="1"/>
  <c r="R10" i="11"/>
  <c r="R12" i="11" s="1"/>
  <c r="R13" i="11" s="1"/>
  <c r="B13" i="11" s="1"/>
  <c r="Z15" i="11"/>
  <c r="J35" i="11"/>
  <c r="P35" i="11" s="1"/>
  <c r="Y25" i="11"/>
  <c r="E18" i="10"/>
  <c r="C24" i="11"/>
  <c r="C25" i="11" s="1"/>
  <c r="P13" i="11"/>
  <c r="P63" i="11"/>
  <c r="B66" i="11"/>
  <c r="P27" i="1"/>
  <c r="B27" i="1" s="1"/>
  <c r="P95" i="1"/>
  <c r="P96" i="1" s="1"/>
  <c r="B96" i="1" s="1"/>
  <c r="R13" i="1"/>
  <c r="V22" i="1"/>
  <c r="V23" i="1" s="1"/>
  <c r="V24" i="1" s="1"/>
  <c r="P43" i="1"/>
  <c r="P12" i="1"/>
  <c r="D6" i="12" l="1"/>
  <c r="E6" i="12" s="1"/>
  <c r="C7" i="12" s="1"/>
  <c r="D7" i="12" s="1"/>
  <c r="E7" i="12" s="1"/>
  <c r="C8" i="12" s="1"/>
  <c r="D8" i="12" s="1"/>
  <c r="E8" i="12" s="1"/>
  <c r="P42" i="11"/>
  <c r="B44" i="11" s="1"/>
  <c r="F8" i="10" s="1"/>
  <c r="E17" i="10"/>
  <c r="E19" i="10" s="1"/>
  <c r="V22" i="11"/>
  <c r="V23" i="11" s="1"/>
  <c r="V24" i="11" s="1"/>
  <c r="B67" i="11" s="1"/>
  <c r="B13" i="1"/>
  <c r="B29" i="1"/>
  <c r="B49" i="1"/>
  <c r="B12" i="1"/>
  <c r="P13" i="1"/>
  <c r="P57" i="1"/>
  <c r="A60" i="1" s="1"/>
  <c r="C60" i="1"/>
  <c r="C61" i="1" s="1"/>
  <c r="C9" i="12" l="1"/>
  <c r="D9" i="12" s="1"/>
  <c r="E9" i="12" s="1"/>
  <c r="C10" i="12" s="1"/>
  <c r="D10" i="12" s="1"/>
  <c r="P43" i="11"/>
  <c r="B49" i="11" s="1"/>
  <c r="P60" i="1"/>
  <c r="P62" i="1" s="1"/>
  <c r="P63" i="1" s="1"/>
  <c r="B67" i="1" s="1"/>
  <c r="E10" i="12" l="1"/>
  <c r="C11" i="12" s="1"/>
  <c r="D11" i="12" s="1"/>
  <c r="B66" i="1"/>
  <c r="A18" i="11"/>
  <c r="B24" i="11"/>
  <c r="P24" i="11" s="1"/>
  <c r="P26" i="11" s="1"/>
  <c r="P27" i="11" s="1"/>
  <c r="D39" i="3" s="1"/>
  <c r="E11" i="12" l="1"/>
  <c r="C12" i="12" s="1"/>
  <c r="D12" i="12" s="1"/>
  <c r="B27" i="11"/>
  <c r="F6" i="10" s="1"/>
  <c r="B29" i="11"/>
  <c r="E12" i="12" l="1"/>
  <c r="C13" i="12" s="1"/>
  <c r="D13" i="12" s="1"/>
  <c r="E13" i="12" l="1"/>
  <c r="C14" i="12" s="1"/>
  <c r="D14" i="12" s="1"/>
  <c r="E14" i="12" l="1"/>
  <c r="C15" i="12" s="1"/>
  <c r="D15" i="12" s="1"/>
  <c r="E15" i="12" l="1"/>
  <c r="C16" i="12" s="1"/>
  <c r="D16" i="12" s="1"/>
  <c r="E16" i="12" l="1"/>
  <c r="C17" i="12" s="1"/>
  <c r="D17" i="12" s="1"/>
  <c r="E17" i="12" l="1"/>
  <c r="C18" i="12" s="1"/>
  <c r="D18" i="12" s="1"/>
  <c r="E18" i="12" l="1"/>
  <c r="C19" i="12" s="1"/>
  <c r="D19" i="12" s="1"/>
  <c r="E19" i="12" l="1"/>
  <c r="C20" i="12" s="1"/>
  <c r="D20" i="12" s="1"/>
  <c r="E20" i="12" l="1"/>
  <c r="C21" i="12" s="1"/>
  <c r="D21" i="12" l="1"/>
  <c r="E21" i="12" s="1"/>
  <c r="C22" i="12"/>
  <c r="E21" i="10" s="1"/>
  <c r="E22" i="10" s="1"/>
  <c r="D22"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Michel Romanens</author>
  </authors>
  <commentList>
    <comment ref="B26" authorId="0" shapeId="0" xr:uid="{00000000-0006-0000-0000-000001000000}">
      <text>
        <r>
          <rPr>
            <b/>
            <sz val="8"/>
            <color indexed="81"/>
            <rFont val="Tahoma"/>
          </rPr>
          <t>Michel Romanens:</t>
        </r>
        <r>
          <rPr>
            <sz val="8"/>
            <color indexed="81"/>
            <rFont val="Tahoma"/>
          </rPr>
          <t xml:space="preserve">
Hier müsste korrekterweise ein Vertrauenintervall angegeben werden (also z.b. 710 bis 910 Franken) und dann die Analyse mit diesen Annahmen gerechnet werden. Es ist nicht zulässig, ohne Vertrauensintervalle zu rechnen. </t>
        </r>
      </text>
    </comment>
    <comment ref="D26" authorId="0" shapeId="0" xr:uid="{00000000-0006-0000-0000-000002000000}">
      <text>
        <r>
          <rPr>
            <b/>
            <sz val="8"/>
            <color indexed="81"/>
            <rFont val="Tahoma"/>
          </rPr>
          <t>Michel Romanens:</t>
        </r>
        <r>
          <rPr>
            <sz val="8"/>
            <color indexed="81"/>
            <rFont val="Tahoma"/>
          </rPr>
          <t xml:space="preserve">
Screeningkosten pro Frau</t>
        </r>
      </text>
    </comment>
    <comment ref="D27" authorId="0" shapeId="0" xr:uid="{00000000-0006-0000-0000-000003000000}">
      <text>
        <r>
          <rPr>
            <b/>
            <sz val="8"/>
            <color indexed="81"/>
            <rFont val="Tahoma"/>
          </rPr>
          <t>Michel Romanens:</t>
        </r>
        <r>
          <rPr>
            <sz val="8"/>
            <color indexed="81"/>
            <rFont val="Tahoma"/>
          </rPr>
          <t xml:space="preserve">
Negative Wirkung des Modells A (=schadet den Frauen insgesamt ganz leicht :-( )
</t>
        </r>
      </text>
    </comment>
    <comment ref="D37" authorId="0" shapeId="0" xr:uid="{00000000-0006-0000-0000-000004000000}">
      <text>
        <r>
          <rPr>
            <b/>
            <sz val="8"/>
            <color indexed="81"/>
            <rFont val="Tahoma"/>
          </rPr>
          <t>Michel Romanens:</t>
        </r>
        <r>
          <rPr>
            <sz val="8"/>
            <color indexed="81"/>
            <rFont val="Tahoma"/>
          </rPr>
          <t xml:space="preserve">
Screeningkosten pro Frau</t>
        </r>
      </text>
    </comment>
    <comment ref="D38" authorId="0" shapeId="0" xr:uid="{00000000-0006-0000-0000-000005000000}">
      <text>
        <r>
          <rPr>
            <b/>
            <sz val="8"/>
            <color indexed="81"/>
            <rFont val="Tahoma"/>
          </rPr>
          <t>Michel Romanens:</t>
        </r>
        <r>
          <rPr>
            <sz val="8"/>
            <color indexed="81"/>
            <rFont val="Tahoma"/>
          </rPr>
          <t xml:space="preserve">
Positive Wirkung des Modells B (=nützt den Frauen insgesamt ganz leicht :-))
</t>
        </r>
      </text>
    </comment>
    <comment ref="B47" authorId="0" shapeId="0" xr:uid="{00000000-0006-0000-0000-000006000000}">
      <text>
        <r>
          <rPr>
            <b/>
            <sz val="8"/>
            <color indexed="81"/>
            <rFont val="Tahoma"/>
          </rPr>
          <t>Michel Romanens:</t>
        </r>
        <r>
          <rPr>
            <sz val="8"/>
            <color indexed="81"/>
            <rFont val="Tahoma"/>
          </rPr>
          <t xml:space="preserve">
Diese Annahme ist wie beim Schweizerisches Medical Board wissenschaftlich nicht begründet sondern eine einfache Intuition.</t>
        </r>
      </text>
    </comment>
    <comment ref="D50" authorId="0" shapeId="0" xr:uid="{00000000-0006-0000-0000-000007000000}">
      <text>
        <r>
          <rPr>
            <b/>
            <sz val="8"/>
            <color indexed="81"/>
            <rFont val="Tahoma"/>
          </rPr>
          <t>Michel Romanens:</t>
        </r>
        <r>
          <rPr>
            <sz val="8"/>
            <color indexed="81"/>
            <rFont val="Tahoma"/>
          </rPr>
          <t xml:space="preserve">
Screeningkosten pro Frau</t>
        </r>
      </text>
    </comment>
    <comment ref="D51" authorId="0" shapeId="0" xr:uid="{00000000-0006-0000-0000-000008000000}">
      <text>
        <r>
          <rPr>
            <b/>
            <sz val="8"/>
            <color indexed="81"/>
            <rFont val="Tahoma"/>
          </rPr>
          <t>Michel Romanens:</t>
        </r>
        <r>
          <rPr>
            <sz val="8"/>
            <color indexed="81"/>
            <rFont val="Tahoma"/>
          </rPr>
          <t xml:space="preserve">
Positive Wirkung des Modells C (=nützt den Frauen insgesamt :-)  )
</t>
        </r>
      </text>
    </comment>
    <comment ref="D58" authorId="0" shapeId="0" xr:uid="{00000000-0006-0000-0000-000009000000}">
      <text>
        <r>
          <rPr>
            <b/>
            <sz val="8"/>
            <color indexed="81"/>
            <rFont val="Tahoma"/>
          </rPr>
          <t>Michel Romanens:</t>
        </r>
        <r>
          <rPr>
            <sz val="8"/>
            <color indexed="81"/>
            <rFont val="Tahoma"/>
          </rPr>
          <t xml:space="preserve">
Screeningkosten pro Frau</t>
        </r>
      </text>
    </comment>
    <comment ref="D59" authorId="0" shapeId="0" xr:uid="{00000000-0006-0000-0000-00000A000000}">
      <text>
        <r>
          <rPr>
            <b/>
            <sz val="8"/>
            <color indexed="81"/>
            <rFont val="Tahoma"/>
          </rPr>
          <t>Michel Romanens:</t>
        </r>
        <r>
          <rPr>
            <sz val="8"/>
            <color indexed="81"/>
            <rFont val="Tahoma"/>
          </rPr>
          <t xml:space="preserve">
Positive Wirkung des Modells D (=nützt den Frauen insgesamt :-)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Romanens Michel</author>
  </authors>
  <commentList>
    <comment ref="D6" authorId="0" shapeId="0" xr:uid="{D30542A7-74E9-495A-B939-76B486B09F2B}">
      <text>
        <r>
          <rPr>
            <b/>
            <sz val="9"/>
            <color indexed="81"/>
            <rFont val="Segoe UI"/>
            <family val="2"/>
          </rPr>
          <t>Romanens Michel:</t>
        </r>
        <r>
          <rPr>
            <sz val="9"/>
            <color indexed="81"/>
            <rFont val="Segoe UI"/>
            <family val="2"/>
          </rPr>
          <t xml:space="preserve">
Gemäss Gutzwiller 1999 sind es 5% falsch positive, also krebsverdächtige Befunde ohne Krebsnachweis im Verlauf.</t>
        </r>
      </text>
    </comment>
    <comment ref="D8" authorId="0" shapeId="0" xr:uid="{0F6612C2-B5B5-493C-82E8-0E28EDF99CA0}">
      <text>
        <r>
          <rPr>
            <b/>
            <sz val="9"/>
            <color indexed="81"/>
            <rFont val="Segoe UI"/>
            <family val="2"/>
          </rPr>
          <t>Romanens Michel:</t>
        </r>
        <r>
          <rPr>
            <sz val="9"/>
            <color indexed="81"/>
            <rFont val="Segoe UI"/>
            <family val="2"/>
          </rPr>
          <t xml:space="preserve">
Prozent Frauen, welche während 13 Jahren an ständiger Angst vor Brustkrebs leiden und deshalb eine Verlust an Lebensqualität von 10% erleiden
</t>
        </r>
      </text>
    </comment>
    <comment ref="E15" authorId="0" shapeId="0" xr:uid="{DD4AA3A8-3A88-4EC6-BAC8-F058735C793C}">
      <text>
        <r>
          <rPr>
            <b/>
            <sz val="9"/>
            <color indexed="81"/>
            <rFont val="Segoe UI"/>
            <family val="2"/>
          </rPr>
          <t>Romanens Michel:</t>
        </r>
        <r>
          <rPr>
            <sz val="9"/>
            <color indexed="81"/>
            <rFont val="Segoe UI"/>
            <family val="2"/>
          </rPr>
          <t xml:space="preserve">
Bei einem Wert des Lebens von 28 125 Fr  resultiert in ROI von  0  Franken. Standardmässig wird mit einem Wert von 200 000 Fr pro Jahr als Wert des Lebens gerechnet.
</t>
        </r>
      </text>
    </comment>
    <comment ref="E16" authorId="0" shapeId="0" xr:uid="{0110F53D-F78A-4B85-A163-B21F14D80C2F}">
      <text>
        <r>
          <rPr>
            <b/>
            <sz val="9"/>
            <color indexed="81"/>
            <rFont val="Segoe UI"/>
            <family val="2"/>
          </rPr>
          <t>Romanens Michel:</t>
        </r>
        <r>
          <rPr>
            <sz val="9"/>
            <color indexed="81"/>
            <rFont val="Segoe UI"/>
            <family val="2"/>
          </rPr>
          <t xml:space="preserve">
Diese Zahl wurde dem SMB Bericht entnommen.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Romanens Michel</author>
  </authors>
  <commentList>
    <comment ref="A51" authorId="0" shapeId="0" xr:uid="{7E79EE55-15F1-4B1D-8C8D-75483692F743}">
      <text>
        <r>
          <rPr>
            <b/>
            <sz val="9"/>
            <color indexed="81"/>
            <rFont val="Segoe UI"/>
            <family val="2"/>
          </rPr>
          <t>Romanens Michel:</t>
        </r>
        <r>
          <rPr>
            <sz val="9"/>
            <color indexed="81"/>
            <rFont val="Segoe UI"/>
            <family val="2"/>
          </rPr>
          <t xml:space="preserve">
Bei einem dreijährigen Abklärungszyklus gibt es keine Daten zu den falsch positiven bei der gleichen Frau.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Romanens Michel</author>
  </authors>
  <commentList>
    <comment ref="A51" authorId="0" shapeId="0" xr:uid="{43387F50-6BC4-42C6-A8BA-B93CFA2E0AA4}">
      <text>
        <r>
          <rPr>
            <b/>
            <sz val="9"/>
            <color indexed="81"/>
            <rFont val="Segoe UI"/>
            <family val="2"/>
          </rPr>
          <t>Romanens Michel:</t>
        </r>
        <r>
          <rPr>
            <sz val="9"/>
            <color indexed="81"/>
            <rFont val="Segoe UI"/>
            <family val="2"/>
          </rPr>
          <t xml:space="preserve">
Bei einem dreijährigen Abklärungszyklus gibt es keine Daten zu den falsch positiven bei der gleichen Frau.</t>
        </r>
      </text>
    </comment>
  </commentList>
</comments>
</file>

<file path=xl/sharedStrings.xml><?xml version="1.0" encoding="utf-8"?>
<sst xmlns="http://schemas.openxmlformats.org/spreadsheetml/2006/main" count="523" uniqueCount="247">
  <si>
    <t xml:space="preserve"> </t>
  </si>
  <si>
    <t>Differenz</t>
  </si>
  <si>
    <t>Modell A</t>
  </si>
  <si>
    <t>Modell B</t>
  </si>
  <si>
    <t>Modell C</t>
  </si>
  <si>
    <t>Kontrolle</t>
  </si>
  <si>
    <t>Modell D</t>
  </si>
  <si>
    <t>FP</t>
  </si>
  <si>
    <t>TN</t>
  </si>
  <si>
    <t>Sensitivitätsanalyse</t>
  </si>
  <si>
    <t>Sensitivitätsanalyse + Angst ohne Mammoscreening</t>
  </si>
  <si>
    <t>Kosten pro QALY 1.0:</t>
  </si>
  <si>
    <t>Originalmodell</t>
  </si>
  <si>
    <t>Modelle A-D auf 10'000 Frauen berechnet</t>
  </si>
  <si>
    <t>TP</t>
  </si>
  <si>
    <t>FN</t>
  </si>
  <si>
    <t>SENS</t>
  </si>
  <si>
    <t>SPEZ</t>
  </si>
  <si>
    <t>PPV</t>
  </si>
  <si>
    <t>NPV</t>
  </si>
  <si>
    <t>ACC</t>
  </si>
  <si>
    <t>ALL</t>
  </si>
  <si>
    <t>pLR</t>
  </si>
  <si>
    <t>nLR</t>
  </si>
  <si>
    <t>PRE%</t>
  </si>
  <si>
    <t>PRETEST PROBABILITY</t>
  </si>
  <si>
    <t>SENSITIVITY</t>
  </si>
  <si>
    <t>SPECIFICITY</t>
  </si>
  <si>
    <t>POSTTEST PROBABILITY</t>
  </si>
  <si>
    <t xml:space="preserve">Mammographie-Screening, wie die QALY Rechnungen funktionieren. </t>
  </si>
  <si>
    <t xml:space="preserve">Der QALY Rechner zeigt am Beispiel des Berichts Swiss Medical Board (Schweizerisches Medical Board) betreffend </t>
  </si>
  <si>
    <t>Modell A beinhaltet die Grundannahmen des Schweizerisches Medical Board</t>
  </si>
  <si>
    <t>Je nach dem, welche Optionen diese Frauen wählen, soll dies auf die Lebensqualität einen geschätzten Einfluss</t>
  </si>
  <si>
    <t xml:space="preserve">Beschrieben werden 10306 Frauen während 13 Jahren. </t>
  </si>
  <si>
    <t xml:space="preserve">Das Wirkungsmodell ist im Tabellenblatt "MODELL" beschrieben. </t>
  </si>
  <si>
    <t>Auffällig sind dort die 10% falsch positiven Befunde in der Screeninggruppe.</t>
  </si>
  <si>
    <t xml:space="preserve">Gemäss Literatur sind es aber in den vom SMB begutachteten Studien 4-5%. </t>
  </si>
  <si>
    <t xml:space="preserve">haben. Diese Einflussgrösse ist mehr oder weniger willkürlich festgelegt (siehe Tabellenblatt "INDEX"). </t>
  </si>
  <si>
    <t xml:space="preserve">Damit wird das QALY Modell entgegen den Beteuerungen des SMB künstlich benachteiligt.  </t>
  </si>
  <si>
    <t xml:space="preserve">Im Tabellenblatt "WIRKUNG" wird beschrieben, wie das MODELL in Zahlen aussieht. </t>
  </si>
  <si>
    <t xml:space="preserve">Zuerst ohne Screening, dann mit Screening. </t>
  </si>
  <si>
    <t>Es kostet also 5.8 Mio Franken, ein Frau um ein QALY pro Jahr mit verminderter Lebensqualität zu schaden.</t>
  </si>
  <si>
    <t xml:space="preserve">Daraus resultiert im Modell A eine 10% Abnahme der Lebensqualität über 6 Monate. </t>
  </si>
  <si>
    <t xml:space="preserve">Hier die QALY mit nun leicht positiver Wirkung von 0.00327. </t>
  </si>
  <si>
    <t xml:space="preserve">Mit dieser Zahl tritt das SMB nun an die Öffentlichkeit. </t>
  </si>
  <si>
    <t>QALY RECHNER des Schweizerisches Medical Board (SMB)</t>
  </si>
  <si>
    <t>Link zum Bericht des Schweizerisches Medical Board Mammographiescreening:</t>
  </si>
  <si>
    <t xml:space="preserve">Im Modell B wird nun eine Abnahme der Lebensqualität von 10% nur über 2 statt 6 Monate angenommen. </t>
  </si>
  <si>
    <t>Hier also nochmals die Screeningkosten pro Frau = 810 Franken.</t>
  </si>
  <si>
    <t xml:space="preserve">Modell C </t>
  </si>
  <si>
    <t xml:space="preserve">Das Schweizerisches Medical Board vernachlässigt in den Modellen A und B folgende Wirkung: </t>
  </si>
  <si>
    <t>Frauen können Angst haben vor Brustkrebs, lassen sich aber wegen fehlendem Screeningprogramm</t>
  </si>
  <si>
    <t>Und dies über die Dauer des QALY Modells von SMB, nämlich über 13 Jahre.</t>
  </si>
  <si>
    <t>Dann gelangen wir zum Modell C.</t>
  </si>
  <si>
    <t xml:space="preserve">Unter Verwendung von Modell B und den Annahmen von Modell C ergibt sich: </t>
  </si>
  <si>
    <t>Gehen wir also gleich vor wie das SMB:</t>
  </si>
  <si>
    <t>Die QALY Berechnung ist im Tabellenblatt "QALY" im Detail nachvollziehbar.</t>
  </si>
  <si>
    <t xml:space="preserve">Im Ergebnis kostet jetzt ein QALY für diese 10'000 Frauen nur noch 6162 Franken statt 0.25 Mio Franken. </t>
  </si>
  <si>
    <t xml:space="preserve">Hätte das SMB diese Zahlen kommuniziert, wäre die Öffentlichkeit ganz anders beeinflusst worden. </t>
  </si>
  <si>
    <t>Im Modell D haben wir die Zahl der falsch positiven Krebsbefunde auf den publizierten Wert von 5% reduziert</t>
  </si>
  <si>
    <t xml:space="preserve">Zudem haben wir die Annahmen von Modell C im Modell D integriert. </t>
  </si>
  <si>
    <t>Bedeutung: 6162 Franken müssen aufgewendet werden für eine Verbesserung der Wirksamkeit für 10'000 Frauen.</t>
  </si>
  <si>
    <t>Bedeutung: 248'000 Franken müssen aufgewendet werden für eine Verbesserung der Wirksamkeit  für 10'000 Frauen.</t>
  </si>
  <si>
    <t>Bedeutung: 5.6 Mio Franken würden aufgewendet um 10'000 Frauen zu schaden.</t>
  </si>
  <si>
    <t xml:space="preserve">Ferner belassen wir auch hier die Screeningkosten auf 810 Franken. </t>
  </si>
  <si>
    <t>Diskussion</t>
  </si>
  <si>
    <t xml:space="preserve">Je nachdem, ob die Lebensqualität wegen einer Fehldiagnose während 2 oder 6 Monaten um </t>
  </si>
  <si>
    <t xml:space="preserve">10% beeinträchtigt wird, ob ohne Screening die Angst vor Brustkrebs im Modell berücksichtigt wird </t>
  </si>
  <si>
    <t>Schlussfolgerung</t>
  </si>
  <si>
    <t>Das SMB manipuliert mit seinem QALY Modell A und B unter dem Deckmantel der Wissenschaft</t>
  </si>
  <si>
    <t xml:space="preserve">die öffentliche Meinung. </t>
  </si>
  <si>
    <t>Mammoscreening</t>
  </si>
  <si>
    <t>Test-Performance</t>
  </si>
  <si>
    <t>richtig positive</t>
  </si>
  <si>
    <t>richtig negative</t>
  </si>
  <si>
    <t>falsch positive</t>
  </si>
  <si>
    <t>falsch negative</t>
  </si>
  <si>
    <t>Sensitivität</t>
  </si>
  <si>
    <t>Spezifität</t>
  </si>
  <si>
    <t>PV</t>
  </si>
  <si>
    <t>Prädiktiver Wert</t>
  </si>
  <si>
    <t>Positiv PV</t>
  </si>
  <si>
    <t>NPS</t>
  </si>
  <si>
    <t>Negativ PV</t>
  </si>
  <si>
    <t>Accuracy</t>
  </si>
  <si>
    <t>Alle Frauen</t>
  </si>
  <si>
    <t>LR</t>
  </si>
  <si>
    <t>likelihood ratio</t>
  </si>
  <si>
    <t>positive LR</t>
  </si>
  <si>
    <t>negative LR</t>
  </si>
  <si>
    <t>Prävalenz von Brustkrebs</t>
  </si>
  <si>
    <t>Wahrscheinlichkeit für Krebs bei positivem Befund:</t>
  </si>
  <si>
    <t>Wahrscheinlichkeit für Krebs bei negativem Befund:</t>
  </si>
  <si>
    <t xml:space="preserve">Legende: </t>
  </si>
  <si>
    <t>BAYES THEOREM</t>
  </si>
  <si>
    <t xml:space="preserve">Gemäss Tabellenblatt "BAYES" liegt die Bedeutung des Mammographiescreenings in der </t>
  </si>
  <si>
    <t xml:space="preserve">Die Performance des Mammographie-Screenings muss laufend evaluiert werden. </t>
  </si>
  <si>
    <t>Im Ergebnis sind QALY ein Instrument für die Irreführung der Öffentlichkeit. Daraus muss</t>
  </si>
  <si>
    <t xml:space="preserve">ein QALY Verbot, wie es bereits in den USA existiert, gefordert werden. </t>
  </si>
  <si>
    <t>Diese Forderung wird anhand der QALY Berechnungen des SMB exemplifiziert (Modelle A-D).</t>
  </si>
  <si>
    <t>Berechnung der Vortest-Wahrscheinlichkeit</t>
  </si>
  <si>
    <t>Informationen von http://www.cancer.gov/bcrisktool/</t>
  </si>
  <si>
    <t xml:space="preserve">Anhand von 8 Fragen lässt sich die Wahrscheinlichkeit für Brustkrebs berechnen. </t>
  </si>
  <si>
    <t xml:space="preserve">Bei sehr niedriger Wahrscheinlichkeit macht ein Screening weniger Sinn. </t>
  </si>
  <si>
    <r>
      <t>Does the woman have a medical history of any breast cancer or of </t>
    </r>
    <r>
      <rPr>
        <u/>
        <sz val="9"/>
        <color indexed="63"/>
        <rFont val="Arial"/>
        <family val="2"/>
      </rPr>
      <t>ductal carcinoma in situ (DCIS)</t>
    </r>
    <r>
      <rPr>
        <sz val="9"/>
        <color indexed="63"/>
        <rFont val="Arial"/>
        <family val="2"/>
      </rPr>
      <t> or </t>
    </r>
    <r>
      <rPr>
        <u/>
        <sz val="9"/>
        <color indexed="63"/>
        <rFont val="Arial"/>
        <family val="2"/>
      </rPr>
      <t>lobular carcinoma in situ (LCIS)</t>
    </r>
    <r>
      <rPr>
        <sz val="9"/>
        <color indexed="63"/>
        <rFont val="Arial"/>
        <family val="2"/>
      </rPr>
      <t> or has she received previous radiation therapy to the chest for treatment of Hodgkin lymphoma?</t>
    </r>
  </si>
  <si>
    <r>
      <t>Does the woman have a mutation in either the </t>
    </r>
    <r>
      <rPr>
        <i/>
        <u/>
        <sz val="9"/>
        <color indexed="63"/>
        <rFont val="Arial"/>
        <family val="2"/>
      </rPr>
      <t>BRCA1</t>
    </r>
    <r>
      <rPr>
        <sz val="9"/>
        <color indexed="63"/>
        <rFont val="Arial"/>
        <family val="2"/>
      </rPr>
      <t> or</t>
    </r>
    <r>
      <rPr>
        <i/>
        <u/>
        <sz val="9"/>
        <color indexed="8"/>
        <rFont val="Arial"/>
        <family val="2"/>
      </rPr>
      <t>BRCA2</t>
    </r>
    <r>
      <rPr>
        <sz val="9"/>
        <color indexed="63"/>
        <rFont val="Arial"/>
        <family val="2"/>
      </rPr>
      <t> gene, or a diagnosis of a genetic syndrome that may be associated with elevated risk of breast cancer?</t>
    </r>
  </si>
  <si>
    <t>What is the woman's age?</t>
  </si>
  <si>
    <t>What was the woman's age at the time of her first menstrual period?</t>
  </si>
  <si>
    <t>What was the woman's age at the time of her first live birth of a child?</t>
  </si>
  <si>
    <t>How many of the woman's first-degree relatives - mother, sisters, daughters - have had breast cancer?</t>
  </si>
  <si>
    <t>Has the woman ever had a breast biopsy?</t>
  </si>
  <si>
    <t>What is the woman's race/ethnicity?</t>
  </si>
  <si>
    <t>no</t>
  </si>
  <si>
    <t>?</t>
  </si>
  <si>
    <t>white</t>
  </si>
  <si>
    <t>Pretest Probability for 10 years</t>
  </si>
  <si>
    <t>yes</t>
  </si>
  <si>
    <t>Posttest Probability negative Test</t>
  </si>
  <si>
    <t>&gt;1</t>
  </si>
  <si>
    <t>Posttest Probability positive Test</t>
  </si>
  <si>
    <t>read limitations of the test on the website</t>
  </si>
  <si>
    <t xml:space="preserve">Nachtest-Wahrscheinlichkeit. </t>
  </si>
  <si>
    <t>Anteil falsch positive</t>
  </si>
  <si>
    <t>Falsch Positive</t>
  </si>
  <si>
    <t>Verteilung in der 4 Felder Tafel</t>
  </si>
  <si>
    <r>
      <t>Guten Tag Herr </t>
    </r>
    <r>
      <rPr>
        <sz val="12"/>
        <color indexed="63"/>
        <rFont val="Calibri"/>
        <family val="2"/>
      </rPr>
      <t>Bohnenblust</t>
    </r>
  </si>
  <si>
    <t>In der Tabelle 8 (S. 25) schreiben Sie, dass bei Frauen zwischen 50-69 Jahren gemäss Ihren Berechnungen 8'800 Frauen im Screening "True Negatives" seien, wobei Sie dies selber berechnet hätten und keine Literaturangabe erfolgt, was für einen wissenschaftlichen Bericht unüblich ist. Gehen wir von einer falsch positiven Rate von 9.8% aus (obwohl auch 4% in der Literatur angegeben wird), beträgt die Test Accuracy für 10'000 Frauen 85% (Sens 26%, Spez 90%).</t>
  </si>
  <si>
    <t>Gemäss Gutzwiller, Huber Verlaug., 2. Auflage, S 202, 1999, beträgt bei 45-65 jährigen Frauen die falsch positive Rate 10.1%, die True Negative Rate jedoch 94.4 %. Daraus errechnet sich eine Test Accuracy von 95% (Sens 75%, Spez 95%).</t>
  </si>
  <si>
    <t>Aufgrund dieses Vergleichs können Sie sofort erkennen, dass hier erhebliche Unterschiede in der Test Performance auftauchen, welche durch den geringen Altersunterschied wohl kaum zu erklären sind. Da im SMB Bericht die Test Accuracy signifikant schlechter ausfällt, wäre ich froh, wenn Sie mir offen legen würden, wie Sie auf die 8'800 Frauen mit true negative Screening Resultat kommen. </t>
  </si>
  <si>
    <t>Zu den QALY noch folgende Frage:</t>
  </si>
  <si>
    <t>Sie sprechen von 4 Gruppen von Frauen, welche unter anderem wegen der psychischen Belastung eines falsch positiven Befundes eine niedrigere QALY hätten (Gruppe 2). Konsequenterweise müssten Sie dann auch eine Gruppe 5 bilden, welche Frauen beinhaltet, welche dank dem Brustscreening bei einem negativ prädiktiven Wert von 99.8 % gemäss Gutzwiller durchaus zurecht beruhigt sein dürfen. Würden diese Frauen sich nicht screenen lassen, würde die über Jahre anhaltende Krebsangst die Lebensqualität doch wohl erheblich senken, zumindest bei einem Teil der Frauen (10% x 0.9 QALY?). Warum haben Sie diesen Aspekt nicht berücksichtigt und was wäre das Ergebnis, wenn Sie ihn berücksichtigen würden.</t>
  </si>
  <si>
    <t>Sie benutzen den Karnofsky-Index [1] für die QALY Berechnungen. Ist dieser für die Schweiz validiert? Falls nicht: welches ist die wissenschaftliche Begründung für die Benutzung eines nicht validierten und somit nicht evidenz-basierten Berechnungs-Tools in einem Bericht, der sich selber zu 100% auf evidenzbasierte Zahlen zu berufen scheint?</t>
  </si>
  <si>
    <t>Bitte stören Sie sich nicht am Verteiler, wir bewegen uns mit meiner Frage im öffentlichen Raum und Transparenz hat in diesen Dingen oberste Priorität. Zudem wäre ich auch froh, wenn jeweils die Autoren in den SMB Berichten namentlich erwähnt werden, wie wenn diese Berichte über der Wissenschaft stünden?. Es wäre doch äusserst unüblich, dass Publikationen, die Wissenschaftlichkeit beanspruchen, ohne Autorenschaft daher kommen.</t>
  </si>
  <si>
    <t>Ich wäre froh, wenn Sie mir Ihre Antwort bis zum 20.03.2014 einreichen würden. </t>
  </si>
  <si>
    <r>
      <t>[1] Karnofsky D, Burchenal J. The Clinical Evaluation of Chemotherapeutic Agents in Cancer. In: Mac Leod C, ed., Evaluation of Chemotherapeutic Agents. New York: Columbia University Press, </t>
    </r>
    <r>
      <rPr>
        <b/>
        <sz val="12"/>
        <color indexed="10"/>
        <rFont val="Calibri"/>
        <family val="2"/>
      </rPr>
      <t>1949</t>
    </r>
    <r>
      <rPr>
        <sz val="12"/>
        <color indexed="8"/>
        <rFont val="Calibri"/>
        <family val="2"/>
      </rPr>
      <t>. p. 196.</t>
    </r>
  </si>
  <si>
    <r>
      <t>Sent:</t>
    </r>
    <r>
      <rPr>
        <sz val="10"/>
        <color indexed="8"/>
        <rFont val="Tahoma"/>
        <family val="2"/>
      </rPr>
      <t> Thursday, March 13, 2014 11:28 AM</t>
    </r>
  </si>
  <si>
    <r>
      <t>To:</t>
    </r>
    <r>
      <rPr>
        <sz val="10"/>
        <color indexed="8"/>
        <rFont val="Tahoma"/>
        <family val="2"/>
      </rPr>
      <t> </t>
    </r>
    <r>
      <rPr>
        <sz val="10"/>
        <color indexed="30"/>
        <rFont val="Tahoma"/>
        <family val="2"/>
      </rPr>
      <t>Hans.</t>
    </r>
    <r>
      <rPr>
        <sz val="10"/>
        <color indexed="63"/>
        <rFont val="Tahoma"/>
        <family val="2"/>
      </rPr>
      <t>Bohnenblust</t>
    </r>
    <r>
      <rPr>
        <sz val="10"/>
        <color indexed="30"/>
        <rFont val="Tahoma"/>
        <family val="2"/>
      </rPr>
      <t>@ebp.ch</t>
    </r>
    <r>
      <rPr>
        <sz val="10"/>
        <color indexed="8"/>
        <rFont val="Tahoma"/>
        <family val="2"/>
      </rPr>
      <t> ; </t>
    </r>
    <r>
      <rPr>
        <sz val="10"/>
        <color indexed="30"/>
        <rFont val="Tahoma"/>
        <family val="2"/>
      </rPr>
      <t>Andreas Keusch</t>
    </r>
    <r>
      <rPr>
        <sz val="10"/>
        <color indexed="8"/>
        <rFont val="Tahoma"/>
        <family val="2"/>
      </rPr>
      <t> ; </t>
    </r>
    <r>
      <rPr>
        <sz val="10"/>
        <color indexed="30"/>
        <rFont val="Tahoma"/>
        <family val="2"/>
      </rPr>
      <t>gasche@infosperber.ch</t>
    </r>
    <r>
      <rPr>
        <sz val="10"/>
        <color indexed="8"/>
        <rFont val="Tahoma"/>
        <family val="2"/>
      </rPr>
      <t> ; </t>
    </r>
    <r>
      <rPr>
        <sz val="10"/>
        <color indexed="30"/>
        <rFont val="Tahoma"/>
        <family val="2"/>
      </rPr>
      <t>Flavian Kurth</t>
    </r>
    <r>
      <rPr>
        <sz val="10"/>
        <color indexed="8"/>
        <rFont val="Tahoma"/>
        <family val="2"/>
      </rPr>
      <t> ; </t>
    </r>
    <r>
      <rPr>
        <sz val="10"/>
        <color indexed="30"/>
        <rFont val="Tahoma"/>
        <family val="2"/>
      </rPr>
      <t>Michel Romanens</t>
    </r>
    <r>
      <rPr>
        <sz val="10"/>
        <color indexed="8"/>
        <rFont val="Tahoma"/>
        <family val="2"/>
      </rPr>
      <t> ; </t>
    </r>
    <r>
      <rPr>
        <sz val="10"/>
        <color indexed="30"/>
        <rFont val="Tahoma"/>
        <family val="2"/>
      </rPr>
      <t>Susan Boos</t>
    </r>
    <r>
      <rPr>
        <sz val="10"/>
        <color indexed="8"/>
        <rFont val="Tahoma"/>
        <family val="2"/>
      </rPr>
      <t> ; </t>
    </r>
    <r>
      <rPr>
        <sz val="10"/>
        <color indexed="30"/>
        <rFont val="Tahoma"/>
        <family val="2"/>
      </rPr>
      <t>Bruno Kesseli EMH</t>
    </r>
    <r>
      <rPr>
        <sz val="10"/>
        <color indexed="8"/>
        <rFont val="Tahoma"/>
        <family val="2"/>
      </rPr>
      <t> ; </t>
    </r>
    <r>
      <rPr>
        <sz val="10"/>
        <color indexed="30"/>
        <rFont val="Tahoma"/>
        <family val="2"/>
      </rPr>
      <t>Gutzwiller Felix</t>
    </r>
  </si>
  <si>
    <r>
      <t>Subject:</t>
    </r>
    <r>
      <rPr>
        <sz val="10"/>
        <color indexed="8"/>
        <rFont val="Tahoma"/>
        <family val="2"/>
      </rPr>
      <t> Mammographie Bericht des SMB - Nachfrage Test Accuracy / QALY</t>
    </r>
  </si>
  <si>
    <t>Medical Board</t>
  </si>
  <si>
    <t>Gutzwiller</t>
  </si>
  <si>
    <t>Ausgehend von einer</t>
  </si>
  <si>
    <t xml:space="preserve">Vortest-Wahrscheinlichkeit </t>
  </si>
  <si>
    <t>von 6.7%</t>
  </si>
  <si>
    <t>Todesfälle Annahmen</t>
  </si>
  <si>
    <t>Die Todesfälle passieren im Mittel nach der Hälfte der Beobachtungsperiode</t>
  </si>
  <si>
    <t>Die Todesfälle passieren im Mittelnach 18 Jahren</t>
  </si>
  <si>
    <t>Die Beobachtungsperiode beträgt 36 Jahre</t>
  </si>
  <si>
    <t>Die Beobachtungsperiode beträgt 50-87 Jahre</t>
  </si>
  <si>
    <t>Eine Frau verliert somit im Mittel 18 Lebensjahre</t>
  </si>
  <si>
    <t>Monetarisierung der Todesfälle</t>
  </si>
  <si>
    <t>Pro verlorenes Lebensjahr werden 200 000 Fr. veranschlagt</t>
  </si>
  <si>
    <t>Kosten-Nutzen-Abwägung</t>
  </si>
  <si>
    <t xml:space="preserve">Kosten </t>
  </si>
  <si>
    <t>Lebensjahre</t>
  </si>
  <si>
    <t>Bilanz</t>
  </si>
  <si>
    <t>Pro Frau</t>
  </si>
  <si>
    <t>Wirkung</t>
  </si>
  <si>
    <t>Kein Krebs</t>
  </si>
  <si>
    <t>Anzahl</t>
  </si>
  <si>
    <t>QALY</t>
  </si>
  <si>
    <t>Falsch pos</t>
  </si>
  <si>
    <t>Jahre</t>
  </si>
  <si>
    <t>Alle</t>
  </si>
  <si>
    <t>Cancer</t>
  </si>
  <si>
    <t>Death</t>
  </si>
  <si>
    <t>false</t>
  </si>
  <si>
    <t>correct</t>
  </si>
  <si>
    <t>Sensitivitätsanalyse + Angst ohne Mammoscreening +Falsch positive nur 8% statt 10%</t>
  </si>
  <si>
    <t>Bedeutung: 6144 Franken müssen aufgewendet werden für eine Verbesserung der Wirksamkeit für 10'000 Frauen.</t>
  </si>
  <si>
    <t>https://www.ncbi.nlm.nih.gov/pmc/articles/PMC6121088/pdf/Dtsch_Arztebl_Int-115_0481.pdf</t>
  </si>
  <si>
    <t>Modell VEMS</t>
  </si>
  <si>
    <t>SMBMammographyScreening2014.pdf</t>
  </si>
  <si>
    <t>TIME</t>
  </si>
  <si>
    <t>TOTAL QALY</t>
  </si>
  <si>
    <t>PATIENT NR</t>
  </si>
  <si>
    <t>Es werden 16 Todesfälle mit Screening vermieden</t>
  </si>
  <si>
    <t xml:space="preserve">Die Kosten eines Todesfalls (VSL) betragen somit </t>
  </si>
  <si>
    <t>Kosten Mammographie-Screening über 6 Jahre inkl. Krebstherapie</t>
  </si>
  <si>
    <t>Kosten</t>
  </si>
  <si>
    <t>Verlorene Lebensjahr</t>
  </si>
  <si>
    <t xml:space="preserve">VSL </t>
  </si>
  <si>
    <t>VSLY</t>
  </si>
  <si>
    <t>ROI</t>
  </si>
  <si>
    <t>SMB Model</t>
  </si>
  <si>
    <t>Your Model</t>
  </si>
  <si>
    <t>Cost/QALY</t>
  </si>
  <si>
    <t>Falsch  positive (%)</t>
  </si>
  <si>
    <t>Angst vor Krebs (%)</t>
  </si>
  <si>
    <t>Screening Kosten pro Frau</t>
  </si>
  <si>
    <t>Wert eines verlorenen Lebensjahr</t>
  </si>
  <si>
    <t>Anzahl verlorene Lebensjahre pro Frau</t>
  </si>
  <si>
    <t>Screening von folgender Zahl Frauen</t>
  </si>
  <si>
    <t>QALY MODELL</t>
  </si>
  <si>
    <t>VSLY MODELL (Wert des Lebens)</t>
  </si>
  <si>
    <t>Kosten verlorener Lebensjahre</t>
  </si>
  <si>
    <t>Kosten Screening</t>
  </si>
  <si>
    <t>Anzahl Todesfälle</t>
  </si>
  <si>
    <t>Anmerkung: Änderungen nur in den gelb markierten Feldern!</t>
  </si>
  <si>
    <t>Angst durch falsch positive (Monate)</t>
  </si>
  <si>
    <t>Autor: Dr. med. Michel Romanens (michel.romanens@gmail.com) Mai 2023</t>
  </si>
  <si>
    <t xml:space="preserve">Das SMB rechnet mit Screening-Kosten von 810 Franken pro Frau über 6 Jahre. </t>
  </si>
  <si>
    <t xml:space="preserve">Stattdessen wurde unter dem Etikett Sensitivitätsanalyse am Modell A geschraubt: </t>
  </si>
  <si>
    <t xml:space="preserve">Im Modell A sind 1 025 von 10'000 Frauen Opfer eines falsch positiven Krebsbefundes. </t>
  </si>
  <si>
    <t xml:space="preserve">Im Modell A hat das Screening eine negative Wirkung von -0.00014 QALY (negative QALY). </t>
  </si>
  <si>
    <t>Gemäss SMB werden also 5.8 Mio Franken pro QALY aufgewendet, um einer Frau  zu schaden.</t>
  </si>
  <si>
    <t>Das Modell A wurde vom SMB natürlich in seiner Auswirkung (5.8 Mio) nicht offengelegt.</t>
  </si>
  <si>
    <t xml:space="preserve">Es müssen also rund 247 391 Franken pro QALY bezahlt werden. </t>
  </si>
  <si>
    <t xml:space="preserve">nicht untersuchen, z.B. aus Kostengründen. </t>
  </si>
  <si>
    <t>Nehmen wir an, dass rund 1% der Frauen wegen solchen Ängsten 10% weniger Lebensqualität verspüren.</t>
  </si>
  <si>
    <t xml:space="preserve">Im Ergebnis kostet jetzt ein QALY für diese 10'000 Frauen nur noch 32 369 Fr. statt 247 391 Franken. </t>
  </si>
  <si>
    <t>und ob die Zahl der falschen Krebsverdachts von 10% auf reale 5% reduziert wird ergibt sich</t>
  </si>
  <si>
    <t>anstelle von sehr hohen Kosten pro QALY eine "bezahlbare" Berechnung der Kosten pro  QALY.</t>
  </si>
  <si>
    <t>Das QALY Modell des SMB zum Mammographiescreening ist irreführend.</t>
  </si>
  <si>
    <t>Hier 4 Beispiele (alle BRCA Status unbekannt)</t>
  </si>
  <si>
    <t>Ob ein Screening sinnvoll ist, kann auch von Fall zu Fall unter Einbezug der Vortest-Wahrscheinlichkeit</t>
  </si>
  <si>
    <t xml:space="preserve">beantwortet werden. </t>
  </si>
  <si>
    <t xml:space="preserve">Pauschales Screening oder Vortest-Wahrscheinlichkeit </t>
  </si>
  <si>
    <t xml:space="preserve">Berechnungen mit Wert eines Lebensjahres </t>
  </si>
  <si>
    <t xml:space="preserve">Gemäss Literatur kann der Wert des Lebensjahres monetarisiert werden. </t>
  </si>
  <si>
    <t>Der Fachausdruck dazu lautet "value of a statistical life" =VSL oder pro Jahr "VSLY".</t>
  </si>
  <si>
    <t>Wenn eine Frau an Brustkrebs verstirbt, der mit Screening hätte verhindert werden können,</t>
  </si>
  <si>
    <t xml:space="preserve">verliert diese Frau gemäss SMB im Modell 18 Lebensjahre. </t>
  </si>
  <si>
    <t>Gemäss Modell SMB werden mit Screening 16 von 10 000 Frauen vor dem Brustkrebstod gerettet.</t>
  </si>
  <si>
    <t xml:space="preserve">Pro Frau werden Screening und Behandlungskosten von 810 Fr. vom SMB angenommen. </t>
  </si>
  <si>
    <t>Werden also 10 000 Frauen untersucht, kostet das 10 000 x 810 = 8 100 000 Fr (8.1 Mio)</t>
  </si>
  <si>
    <t xml:space="preserve">16 Frauen verlieren gemäss SMB 18 Lebensjahr, als 16 x 18 = 288 Lebensjahre. </t>
  </si>
  <si>
    <t xml:space="preserve">Wenn wir 28 125 Fr. für den Wert des Lebens einer Frau pro Jahr einsetzen, </t>
  </si>
  <si>
    <t xml:space="preserve">ergibt sich ein Wertverlust an Frauenjahren von 8 100 000 Fr (8.1 Mio). </t>
  </si>
  <si>
    <t xml:space="preserve">Gemäss Literatur müsste aber pro Jahr für das VSLY ein Wert von 200 000 Fr. eingesetzt werden. </t>
  </si>
  <si>
    <t>Daraus resultiert ein Return on Investment (ROI) von 49 500 000 Fr ( 49.5 Mio) über 13 Jahre.</t>
  </si>
  <si>
    <t>Year</t>
  </si>
  <si>
    <t>VSL</t>
  </si>
  <si>
    <t>Diskontierte Kosten verlorene Lebensjahre</t>
  </si>
  <si>
    <t>SUMME</t>
  </si>
  <si>
    <t>Return on Investment (ROI) über 18 Jahre</t>
  </si>
  <si>
    <t>Diskontierter ROI über 18 Jahre</t>
  </si>
  <si>
    <t>Je nach Diskontierung des VSL, z. B. 6% pro Jahr, resultiert ein ROI von 27 772 771 (27.8 Mio) Fr.</t>
  </si>
  <si>
    <t>Diskussion zum Wert eines Lebensjahres</t>
  </si>
  <si>
    <t>Es erscheint unethisch, den Wert eines verlorenen Lebensjahres zu monetarisieren.</t>
  </si>
  <si>
    <t xml:space="preserve">Das QALY Modell des SMB arbeitet deshalb mit einem VSL von 0 Fr. </t>
  </si>
  <si>
    <t>Doch genau deswegen erscheinen die Kosten des Mammographie Screenings als inakzeptabel.</t>
  </si>
  <si>
    <t xml:space="preserve">Wird ein verlorenes Lebensjahr monetarisiert, werden die Berechnungen als das entlarvt, was </t>
  </si>
  <si>
    <t>sie sind: individualisierte Berechnungen losgelöst von der Gesellschaft.</t>
  </si>
  <si>
    <t xml:space="preserve">Ein VSL beinhaltet nämlich nicht nur den Wert eines Lebensjahres einer Frau, sondern </t>
  </si>
  <si>
    <t>den gesellschaftlichen Wert dieser Frau für Familie, Arbeit und soziales Umfeld.</t>
  </si>
  <si>
    <t>Diskontierungswert des VSL in %/Y, z.B. 6</t>
  </si>
  <si>
    <t>https://www.swissmedicalboard.ch/fileadmin/public/news/2013/bericht_smb_mammographie_screening_lang_2013.pdf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</si>
</sst>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0"/>
    <numFmt numFmtId="165" formatCode="&quot;to &quot;0.000;&quot;to &quot;\-0.000;&quot;to 0&quot;"/>
    <numFmt numFmtId="166" formatCode="[&lt;0.0001]&quot;&lt;0.0001&quot;;0.0000"/>
    <numFmt numFmtId="167" formatCode="0.000"/>
    <numFmt numFmtId="168" formatCode="0.0"/>
    <numFmt numFmtId="169" formatCode="#,##0.000"/>
    <numFmt numFmtId="170" formatCode="#,##0.0000"/>
    <numFmt numFmtId="171" formatCode="#,##0.00000000"/>
    <numFmt numFmtId="172" formatCode="#,##0.0"/>
  </numFmts>
  <fonts count="53" x14ac:knownFonts="1">
    <font>
      <sz val="11"/>
      <color theme="1"/>
      <name val="Calibri"/>
      <family val="2"/>
      <scheme val="minor"/>
    </font>
    <font>
      <sz val="11"/>
      <color indexed="8"/>
      <name val="Calibri"/>
      <family val="2"/>
    </font>
    <font>
      <b/>
      <sz val="11"/>
      <color indexed="8"/>
      <name val="Calibri"/>
      <family val="2"/>
    </font>
    <font>
      <sz val="8"/>
      <name val="Calibri"/>
      <family val="2"/>
    </font>
    <font>
      <b/>
      <sz val="11"/>
      <color indexed="9"/>
      <name val="Calibri"/>
      <family val="2"/>
    </font>
    <font>
      <b/>
      <sz val="10"/>
      <name val="Arial"/>
      <family val="2"/>
    </font>
    <font>
      <b/>
      <sz val="10"/>
      <color indexed="56"/>
      <name val="Arial"/>
      <family val="2"/>
    </font>
    <font>
      <sz val="10"/>
      <color indexed="18"/>
      <name val="Arial"/>
      <family val="2"/>
    </font>
    <font>
      <sz val="10"/>
      <color indexed="56"/>
      <name val="Arial"/>
      <family val="2"/>
    </font>
    <font>
      <sz val="8"/>
      <color indexed="81"/>
      <name val="Tahoma"/>
    </font>
    <font>
      <b/>
      <sz val="8"/>
      <color indexed="81"/>
      <name val="Tahoma"/>
    </font>
    <font>
      <sz val="11"/>
      <color indexed="55"/>
      <name val="Calibri"/>
      <family val="2"/>
    </font>
    <font>
      <b/>
      <sz val="18"/>
      <color indexed="9"/>
      <name val="Calibri"/>
      <family val="2"/>
    </font>
    <font>
      <sz val="11"/>
      <color indexed="43"/>
      <name val="Calibri"/>
      <family val="2"/>
    </font>
    <font>
      <sz val="14"/>
      <color indexed="43"/>
      <name val="Calibri"/>
      <family val="2"/>
    </font>
    <font>
      <sz val="11"/>
      <color indexed="9"/>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sz val="9"/>
      <color indexed="63"/>
      <name val="Arial"/>
      <family val="2"/>
    </font>
    <font>
      <u/>
      <sz val="9"/>
      <color indexed="63"/>
      <name val="Arial"/>
      <family val="2"/>
    </font>
    <font>
      <i/>
      <u/>
      <sz val="9"/>
      <color indexed="63"/>
      <name val="Arial"/>
      <family val="2"/>
    </font>
    <font>
      <i/>
      <u/>
      <sz val="9"/>
      <color indexed="8"/>
      <name val="Arial"/>
      <family val="2"/>
    </font>
    <font>
      <sz val="10"/>
      <name val="Arial"/>
    </font>
    <font>
      <sz val="9"/>
      <name val="Arial"/>
      <family val="2"/>
    </font>
    <font>
      <sz val="9"/>
      <color indexed="8"/>
      <name val="Arial"/>
      <family val="2"/>
    </font>
    <font>
      <b/>
      <sz val="9"/>
      <color indexed="18"/>
      <name val="Arial"/>
      <family val="2"/>
    </font>
    <font>
      <sz val="9"/>
      <color indexed="18"/>
      <name val="Arial"/>
      <family val="2"/>
    </font>
    <font>
      <u/>
      <sz val="10"/>
      <color indexed="12"/>
      <name val="Arial"/>
    </font>
    <font>
      <sz val="12"/>
      <color indexed="8"/>
      <name val="Calibri"/>
      <family val="2"/>
    </font>
    <font>
      <sz val="12"/>
      <color indexed="63"/>
      <name val="Calibri"/>
      <family val="2"/>
    </font>
    <font>
      <b/>
      <sz val="12"/>
      <color indexed="10"/>
      <name val="Calibri"/>
      <family val="2"/>
    </font>
    <font>
      <sz val="10"/>
      <color indexed="8"/>
      <name val="Tahoma"/>
      <family val="2"/>
    </font>
    <font>
      <b/>
      <sz val="10"/>
      <color indexed="8"/>
      <name val="Tahoma"/>
      <family val="2"/>
    </font>
    <font>
      <sz val="10"/>
      <color indexed="30"/>
      <name val="Tahoma"/>
      <family val="2"/>
    </font>
    <font>
      <sz val="10"/>
      <color indexed="63"/>
      <name val="Tahoma"/>
      <family val="2"/>
    </font>
    <font>
      <b/>
      <sz val="22"/>
      <color indexed="10"/>
      <name val="Calibri"/>
      <family val="2"/>
    </font>
    <font>
      <b/>
      <sz val="11"/>
      <color indexed="9"/>
      <name val="Calibri"/>
      <family val="2"/>
    </font>
    <font>
      <sz val="11"/>
      <color indexed="9"/>
      <name val="Calibri"/>
      <family val="2"/>
    </font>
    <font>
      <b/>
      <sz val="11"/>
      <color theme="1"/>
      <name val="Calibri"/>
      <family val="2"/>
      <scheme val="minor"/>
    </font>
    <font>
      <sz val="9"/>
      <color indexed="81"/>
      <name val="Segoe UI"/>
      <family val="2"/>
    </font>
    <font>
      <b/>
      <sz val="9"/>
      <color indexed="81"/>
      <name val="Segoe UI"/>
      <family val="2"/>
    </font>
    <font>
      <b/>
      <sz val="14"/>
      <color theme="1"/>
      <name val="Calibri"/>
      <family val="2"/>
      <scheme val="minor"/>
    </font>
    <font>
      <u/>
      <sz val="11"/>
      <color theme="10"/>
      <name val="Calibri"/>
      <family val="2"/>
      <scheme val="minor"/>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6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66"/>
        <bgColor indexed="64"/>
      </patternFill>
    </fill>
  </fills>
  <borders count="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22"/>
      </right>
      <top/>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style="medium">
        <color indexed="8"/>
      </right>
      <top/>
      <bottom/>
      <diagonal/>
    </border>
    <border>
      <left/>
      <right style="medium">
        <color indexed="55"/>
      </right>
      <top/>
      <bottom/>
      <diagonal/>
    </border>
    <border>
      <left/>
      <right/>
      <top/>
      <bottom style="medium">
        <color indexed="8"/>
      </bottom>
      <diagonal/>
    </border>
    <border>
      <left/>
      <right style="thin">
        <color indexed="22"/>
      </right>
      <top/>
      <bottom style="medium">
        <color indexed="5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7">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164" fontId="32" fillId="0" borderId="0" applyFont="0" applyFill="0" applyBorder="0" applyProtection="0">
      <alignment horizontal="right"/>
    </xf>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23" fillId="20" borderId="1" applyNumberFormat="0" applyAlignment="0" applyProtection="0"/>
    <xf numFmtId="0" fontId="24" fillId="20" borderId="2" applyNumberFormat="0" applyAlignment="0" applyProtection="0"/>
    <xf numFmtId="164" fontId="33" fillId="0" borderId="0" applyFont="0" applyFill="0" applyBorder="0" applyProtection="0">
      <alignment horizontal="right"/>
    </xf>
    <xf numFmtId="165" fontId="33" fillId="0" borderId="0" applyFill="0" applyBorder="0" applyProtection="0">
      <alignment horizontal="left"/>
    </xf>
    <xf numFmtId="0" fontId="34" fillId="0" borderId="0" applyNumberFormat="0" applyFont="0" applyAlignment="0">
      <alignment horizontal="right" vertical="center"/>
      <protection locked="0"/>
    </xf>
    <xf numFmtId="0" fontId="34" fillId="0" borderId="4" applyNumberFormat="0" applyFont="0" applyAlignment="0">
      <alignment horizontal="right" vertical="center"/>
      <protection locked="0"/>
    </xf>
    <xf numFmtId="0" fontId="22" fillId="7" borderId="2" applyNumberFormat="0" applyAlignment="0" applyProtection="0"/>
    <xf numFmtId="0" fontId="2" fillId="0" borderId="5" applyNumberFormat="0" applyFill="0" applyAlignment="0" applyProtection="0"/>
    <xf numFmtId="0" fontId="27" fillId="0" borderId="0" applyNumberFormat="0" applyFill="0" applyBorder="0" applyAlignment="0" applyProtection="0"/>
    <xf numFmtId="0" fontId="20" fillId="4" borderId="0" applyNumberFormat="0" applyBorder="0" applyAlignment="0" applyProtection="0"/>
    <xf numFmtId="0" fontId="35" fillId="0" borderId="9" applyProtection="0">
      <alignment horizontal="right"/>
    </xf>
    <xf numFmtId="0" fontId="35" fillId="0" borderId="10" applyProtection="0">
      <alignment horizontal="right"/>
    </xf>
    <xf numFmtId="0" fontId="34" fillId="0" borderId="11">
      <alignment horizontal="right" vertical="center"/>
      <protection locked="0"/>
    </xf>
    <xf numFmtId="0" fontId="35" fillId="0" borderId="12" applyProtection="0">
      <alignment horizontal="center"/>
      <protection locked="0"/>
    </xf>
    <xf numFmtId="0" fontId="36" fillId="0" borderId="13" applyProtection="0">
      <alignment horizontal="center" wrapText="1"/>
      <protection locked="0"/>
    </xf>
    <xf numFmtId="0" fontId="37" fillId="0" borderId="0" applyNumberFormat="0" applyFill="0" applyBorder="0" applyAlignment="0" applyProtection="0">
      <alignment vertical="top"/>
      <protection locked="0"/>
    </xf>
    <xf numFmtId="0" fontId="32" fillId="22" borderId="15" applyNumberFormat="0" applyFont="0" applyAlignment="0" applyProtection="0"/>
    <xf numFmtId="166" fontId="32" fillId="0" borderId="0" applyFont="0" applyFill="0" applyBorder="0" applyProtection="0">
      <alignment horizontal="right"/>
    </xf>
    <xf numFmtId="9" fontId="32" fillId="0" borderId="0" applyFont="0" applyFill="0" applyBorder="0" applyAlignment="0" applyProtection="0"/>
    <xf numFmtId="0" fontId="21" fillId="3" borderId="0" applyNumberFormat="0" applyBorder="0" applyAlignment="0" applyProtection="0"/>
    <xf numFmtId="0" fontId="32" fillId="0" borderId="0"/>
    <xf numFmtId="0" fontId="32" fillId="0" borderId="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5" fillId="0" borderId="14" applyNumberFormat="0" applyFill="0" applyAlignment="0" applyProtection="0"/>
    <xf numFmtId="0" fontId="26" fillId="0" borderId="0" applyNumberFormat="0" applyFill="0" applyBorder="0" applyAlignment="0" applyProtection="0"/>
    <xf numFmtId="0" fontId="4" fillId="21" borderId="3" applyNumberFormat="0" applyAlignment="0" applyProtection="0"/>
    <xf numFmtId="0" fontId="52" fillId="0" borderId="0" applyNumberFormat="0" applyFill="0" applyBorder="0" applyAlignment="0" applyProtection="0"/>
  </cellStyleXfs>
  <cellXfs count="66">
    <xf numFmtId="0" fontId="0" fillId="0" borderId="0" xfId="0"/>
    <xf numFmtId="1" fontId="5" fillId="23" borderId="0" xfId="0" applyNumberFormat="1" applyFont="1" applyFill="1" applyAlignment="1">
      <alignment horizontal="center" vertical="center"/>
    </xf>
    <xf numFmtId="0" fontId="5" fillId="23" borderId="0" xfId="0" applyFont="1" applyFill="1" applyAlignment="1">
      <alignment horizontal="center"/>
    </xf>
    <xf numFmtId="0" fontId="6" fillId="23" borderId="0" xfId="0" applyFont="1" applyFill="1"/>
    <xf numFmtId="0" fontId="7" fillId="23" borderId="0" xfId="0" applyFont="1" applyFill="1"/>
    <xf numFmtId="0" fontId="7" fillId="23" borderId="0" xfId="0" applyFont="1" applyFill="1" applyAlignment="1">
      <alignment horizontal="center"/>
    </xf>
    <xf numFmtId="0" fontId="8" fillId="23" borderId="16" xfId="0" applyFont="1" applyFill="1" applyBorder="1"/>
    <xf numFmtId="0" fontId="8" fillId="23" borderId="17" xfId="0" applyFont="1" applyFill="1" applyBorder="1"/>
    <xf numFmtId="0" fontId="8" fillId="23" borderId="0" xfId="0" applyFont="1" applyFill="1"/>
    <xf numFmtId="2" fontId="8" fillId="23" borderId="0" xfId="0" applyNumberFormat="1" applyFont="1" applyFill="1" applyAlignment="1">
      <alignment horizontal="center"/>
    </xf>
    <xf numFmtId="0" fontId="0" fillId="23" borderId="0" xfId="0" applyFill="1"/>
    <xf numFmtId="0" fontId="2" fillId="23" borderId="0" xfId="0" applyFont="1" applyFill="1"/>
    <xf numFmtId="1" fontId="0" fillId="23" borderId="0" xfId="0" applyNumberFormat="1" applyFill="1"/>
    <xf numFmtId="0" fontId="11" fillId="23" borderId="0" xfId="0" applyFont="1" applyFill="1"/>
    <xf numFmtId="0" fontId="12" fillId="24" borderId="0" xfId="0" applyFont="1" applyFill="1"/>
    <xf numFmtId="0" fontId="13" fillId="23" borderId="0" xfId="0" applyFont="1" applyFill="1"/>
    <xf numFmtId="0" fontId="14" fillId="24" borderId="0" xfId="0" applyFont="1" applyFill="1"/>
    <xf numFmtId="0" fontId="15" fillId="24" borderId="0" xfId="0" applyFont="1" applyFill="1"/>
    <xf numFmtId="0" fontId="0" fillId="24" borderId="0" xfId="0" applyFill="1"/>
    <xf numFmtId="167" fontId="8" fillId="23" borderId="17" xfId="47" applyNumberFormat="1" applyFont="1" applyFill="1" applyBorder="1" applyAlignment="1">
      <alignment horizontal="center"/>
    </xf>
    <xf numFmtId="167" fontId="8" fillId="23" borderId="17" xfId="0" applyNumberFormat="1" applyFont="1" applyFill="1" applyBorder="1" applyAlignment="1">
      <alignment horizontal="center"/>
    </xf>
    <xf numFmtId="167" fontId="8" fillId="23" borderId="0" xfId="0" applyNumberFormat="1" applyFont="1" applyFill="1" applyAlignment="1">
      <alignment horizontal="center"/>
    </xf>
    <xf numFmtId="0" fontId="0" fillId="23" borderId="18" xfId="0" applyFill="1" applyBorder="1"/>
    <xf numFmtId="0" fontId="0" fillId="23" borderId="18" xfId="0" applyFill="1" applyBorder="1" applyAlignment="1">
      <alignment horizontal="center"/>
    </xf>
    <xf numFmtId="0" fontId="28" fillId="23" borderId="18" xfId="0" applyFont="1" applyFill="1" applyBorder="1" applyAlignment="1">
      <alignment vertical="top" wrapText="1"/>
    </xf>
    <xf numFmtId="0" fontId="0" fillId="23" borderId="18" xfId="0" applyFill="1" applyBorder="1" applyAlignment="1">
      <alignment horizontal="center" vertical="top"/>
    </xf>
    <xf numFmtId="0" fontId="2" fillId="23" borderId="18" xfId="0" applyFont="1" applyFill="1" applyBorder="1" applyAlignment="1">
      <alignment horizontal="center" vertical="top"/>
    </xf>
    <xf numFmtId="168" fontId="0" fillId="23" borderId="18" xfId="0" applyNumberFormat="1" applyFill="1" applyBorder="1" applyAlignment="1">
      <alignment horizontal="center" vertical="top"/>
    </xf>
    <xf numFmtId="1" fontId="5" fillId="23" borderId="0" xfId="46" applyNumberFormat="1" applyFont="1" applyFill="1" applyAlignment="1">
      <alignment horizontal="center" vertical="center"/>
    </xf>
    <xf numFmtId="2" fontId="5" fillId="23" borderId="0" xfId="46" applyNumberFormat="1" applyFont="1" applyFill="1" applyAlignment="1">
      <alignment horizontal="center"/>
    </xf>
    <xf numFmtId="168" fontId="5" fillId="23" borderId="0" xfId="46" applyNumberFormat="1" applyFont="1" applyFill="1" applyAlignment="1">
      <alignment horizontal="center"/>
    </xf>
    <xf numFmtId="1" fontId="5" fillId="23" borderId="0" xfId="46" applyNumberFormat="1" applyFont="1" applyFill="1" applyAlignment="1">
      <alignment horizontal="center"/>
    </xf>
    <xf numFmtId="0" fontId="12" fillId="23" borderId="0" xfId="0" applyFont="1" applyFill="1"/>
    <xf numFmtId="168" fontId="0" fillId="23" borderId="0" xfId="0" applyNumberFormat="1" applyFill="1"/>
    <xf numFmtId="168" fontId="5" fillId="23" borderId="0" xfId="46" applyNumberFormat="1" applyFont="1" applyFill="1" applyAlignment="1">
      <alignment horizontal="center" vertical="center"/>
    </xf>
    <xf numFmtId="0" fontId="38" fillId="23" borderId="0" xfId="0" applyFont="1" applyFill="1" applyAlignment="1">
      <alignment vertical="top" wrapText="1"/>
    </xf>
    <xf numFmtId="0" fontId="42" fillId="23" borderId="0" xfId="0" applyFont="1" applyFill="1" applyAlignment="1">
      <alignment wrapText="1"/>
    </xf>
    <xf numFmtId="0" fontId="45" fillId="25" borderId="0" xfId="0" applyFont="1" applyFill="1"/>
    <xf numFmtId="0" fontId="0" fillId="25" borderId="0" xfId="0" applyFill="1"/>
    <xf numFmtId="0" fontId="4" fillId="26" borderId="0" xfId="0" applyFont="1" applyFill="1"/>
    <xf numFmtId="0" fontId="15" fillId="26" borderId="0" xfId="0" applyFont="1" applyFill="1"/>
    <xf numFmtId="0" fontId="46" fillId="26" borderId="0" xfId="0" applyFont="1" applyFill="1"/>
    <xf numFmtId="0" fontId="47" fillId="26" borderId="0" xfId="0" applyFont="1" applyFill="1"/>
    <xf numFmtId="4" fontId="2" fillId="0" borderId="0" xfId="0" applyNumberFormat="1" applyFont="1"/>
    <xf numFmtId="4" fontId="0" fillId="0" borderId="0" xfId="0" applyNumberFormat="1"/>
    <xf numFmtId="4" fontId="4" fillId="24" borderId="0" xfId="0" applyNumberFormat="1" applyFont="1" applyFill="1"/>
    <xf numFmtId="4" fontId="48" fillId="0" borderId="0" xfId="0" applyNumberFormat="1" applyFont="1"/>
    <xf numFmtId="4" fontId="0" fillId="23" borderId="0" xfId="0" applyNumberFormat="1" applyFill="1"/>
    <xf numFmtId="169" fontId="0" fillId="0" borderId="0" xfId="0" applyNumberFormat="1"/>
    <xf numFmtId="170" fontId="0" fillId="0" borderId="0" xfId="0" applyNumberFormat="1"/>
    <xf numFmtId="171" fontId="0" fillId="0" borderId="0" xfId="0" applyNumberFormat="1"/>
    <xf numFmtId="3" fontId="0" fillId="0" borderId="0" xfId="0" applyNumberFormat="1"/>
    <xf numFmtId="3" fontId="51" fillId="27" borderId="0" xfId="0" applyNumberFormat="1" applyFont="1" applyFill="1" applyAlignment="1">
      <alignment horizontal="center" vertical="top"/>
    </xf>
    <xf numFmtId="0" fontId="51" fillId="27" borderId="0" xfId="0" applyFont="1" applyFill="1" applyAlignment="1">
      <alignment vertical="top"/>
    </xf>
    <xf numFmtId="0" fontId="51" fillId="27" borderId="0" xfId="0" applyFont="1" applyFill="1" applyAlignment="1">
      <alignment horizontal="center" vertical="top"/>
    </xf>
    <xf numFmtId="4" fontId="51" fillId="27" borderId="0" xfId="0" applyNumberFormat="1" applyFont="1" applyFill="1" applyAlignment="1">
      <alignment horizontal="center" vertical="top"/>
    </xf>
    <xf numFmtId="172" fontId="51" fillId="27" borderId="0" xfId="0" applyNumberFormat="1" applyFont="1" applyFill="1" applyAlignment="1">
      <alignment horizontal="center" vertical="top"/>
    </xf>
    <xf numFmtId="0" fontId="51" fillId="29" borderId="18" xfId="0" applyFont="1" applyFill="1" applyBorder="1" applyAlignment="1">
      <alignment horizontal="center" vertical="top"/>
    </xf>
    <xf numFmtId="3" fontId="51" fillId="29" borderId="18" xfId="0" applyNumberFormat="1" applyFont="1" applyFill="1" applyBorder="1" applyAlignment="1">
      <alignment horizontal="center" vertical="top"/>
    </xf>
    <xf numFmtId="0" fontId="51" fillId="29" borderId="18" xfId="0" applyFont="1" applyFill="1" applyBorder="1" applyAlignment="1">
      <alignment horizontal="left" vertical="top"/>
    </xf>
    <xf numFmtId="0" fontId="51" fillId="29" borderId="17" xfId="0" applyFont="1" applyFill="1" applyBorder="1" applyAlignment="1">
      <alignment horizontal="center" vertical="top"/>
    </xf>
    <xf numFmtId="0" fontId="51" fillId="29" borderId="19" xfId="0" applyFont="1" applyFill="1" applyBorder="1" applyAlignment="1">
      <alignment horizontal="center" vertical="top"/>
    </xf>
    <xf numFmtId="0" fontId="51" fillId="28" borderId="16" xfId="0" applyFont="1" applyFill="1" applyBorder="1" applyAlignment="1">
      <alignment horizontal="center" vertical="top"/>
    </xf>
    <xf numFmtId="0" fontId="51" fillId="28" borderId="17" xfId="0" applyFont="1" applyFill="1" applyBorder="1" applyAlignment="1">
      <alignment horizontal="center" vertical="top"/>
    </xf>
    <xf numFmtId="0" fontId="51" fillId="28" borderId="19" xfId="0" applyFont="1" applyFill="1" applyBorder="1" applyAlignment="1">
      <alignment horizontal="center" vertical="top"/>
    </xf>
    <xf numFmtId="0" fontId="52" fillId="23" borderId="0" xfId="56" applyFill="1"/>
  </cellXfs>
  <cellStyles count="57">
    <cellStyle name="20 % - Akzent1" xfId="1" xr:uid="{00000000-0005-0000-0000-000000000000}"/>
    <cellStyle name="20 % - Akzent2" xfId="2" xr:uid="{00000000-0005-0000-0000-000001000000}"/>
    <cellStyle name="20 % - Akzent3" xfId="3" xr:uid="{00000000-0005-0000-0000-000002000000}"/>
    <cellStyle name="20 % - Akzent4" xfId="4" xr:uid="{00000000-0005-0000-0000-000003000000}"/>
    <cellStyle name="20 % - Akzent5" xfId="5" xr:uid="{00000000-0005-0000-0000-000004000000}"/>
    <cellStyle name="20 % - Akzent6" xfId="6" xr:uid="{00000000-0005-0000-0000-000005000000}"/>
    <cellStyle name="40 % - Akzent1" xfId="7" xr:uid="{00000000-0005-0000-0000-000006000000}"/>
    <cellStyle name="40 % - Akzent2" xfId="8" xr:uid="{00000000-0005-0000-0000-000007000000}"/>
    <cellStyle name="40 % - Akzent3" xfId="9" xr:uid="{00000000-0005-0000-0000-000008000000}"/>
    <cellStyle name="40 % - Akzent4" xfId="10" xr:uid="{00000000-0005-0000-0000-000009000000}"/>
    <cellStyle name="40 % - Akzent5" xfId="11" xr:uid="{00000000-0005-0000-0000-00000A000000}"/>
    <cellStyle name="40 % - Akzent6" xfId="12" xr:uid="{00000000-0005-0000-0000-00000B000000}"/>
    <cellStyle name="4dp" xfId="13" xr:uid="{00000000-0005-0000-0000-00000C000000}"/>
    <cellStyle name="60 % - Akzent1" xfId="14" xr:uid="{00000000-0005-0000-0000-00000D000000}"/>
    <cellStyle name="60 % - Akzent2" xfId="15" xr:uid="{00000000-0005-0000-0000-00000E000000}"/>
    <cellStyle name="60 % - Akzent3" xfId="16" xr:uid="{00000000-0005-0000-0000-00000F000000}"/>
    <cellStyle name="60 % - Akzent4" xfId="17" xr:uid="{00000000-0005-0000-0000-000010000000}"/>
    <cellStyle name="60 % - Akzent5" xfId="18" xr:uid="{00000000-0005-0000-0000-000011000000}"/>
    <cellStyle name="60 % - Akzent6" xfId="19" xr:uid="{00000000-0005-0000-0000-000012000000}"/>
    <cellStyle name="Akzent1" xfId="20" xr:uid="{00000000-0005-0000-0000-000013000000}"/>
    <cellStyle name="Akzent2" xfId="21" xr:uid="{00000000-0005-0000-0000-000014000000}"/>
    <cellStyle name="Akzent3" xfId="22" xr:uid="{00000000-0005-0000-0000-000015000000}"/>
    <cellStyle name="Akzent4" xfId="23" xr:uid="{00000000-0005-0000-0000-000016000000}"/>
    <cellStyle name="Akzent5" xfId="24" xr:uid="{00000000-0005-0000-0000-000017000000}"/>
    <cellStyle name="Akzent6" xfId="25" xr:uid="{00000000-0005-0000-0000-000018000000}"/>
    <cellStyle name="Ausgabe" xfId="26" xr:uid="{00000000-0005-0000-0000-000019000000}"/>
    <cellStyle name="Berechnung" xfId="27" xr:uid="{00000000-0005-0000-0000-00001A000000}"/>
    <cellStyle name="CIL" xfId="28" xr:uid="{00000000-0005-0000-0000-00001B000000}"/>
    <cellStyle name="CIU" xfId="29" xr:uid="{00000000-0005-0000-0000-00001C000000}"/>
    <cellStyle name="Data" xfId="30" xr:uid="{00000000-0005-0000-0000-00001D000000}"/>
    <cellStyle name="DataSeperated" xfId="31" xr:uid="{00000000-0005-0000-0000-00001E000000}"/>
    <cellStyle name="Eingabe" xfId="32" xr:uid="{00000000-0005-0000-0000-00001F000000}"/>
    <cellStyle name="Ergebnis" xfId="33" xr:uid="{00000000-0005-0000-0000-000020000000}"/>
    <cellStyle name="Erklärender Text" xfId="34" xr:uid="{00000000-0005-0000-0000-000021000000}"/>
    <cellStyle name="Gut" xfId="35" xr:uid="{00000000-0005-0000-0000-000022000000}"/>
    <cellStyle name="LabelIntersect" xfId="36" xr:uid="{00000000-0005-0000-0000-000023000000}"/>
    <cellStyle name="LabelLeft" xfId="37" xr:uid="{00000000-0005-0000-0000-000024000000}"/>
    <cellStyle name="LabelLeftVariable" xfId="38" xr:uid="{00000000-0005-0000-0000-000025000000}"/>
    <cellStyle name="LabelTop" xfId="39" xr:uid="{00000000-0005-0000-0000-000026000000}"/>
    <cellStyle name="LabelTopSeperated" xfId="40" xr:uid="{00000000-0005-0000-0000-000027000000}"/>
    <cellStyle name="Link" xfId="56" builtinId="8"/>
    <cellStyle name="Link 2" xfId="41" xr:uid="{00000000-0005-0000-0000-000028000000}"/>
    <cellStyle name="Notiz" xfId="42" xr:uid="{00000000-0005-0000-0000-00002A000000}"/>
    <cellStyle name="P" xfId="43" xr:uid="{00000000-0005-0000-0000-00002B000000}"/>
    <cellStyle name="Prozent 2" xfId="44" xr:uid="{00000000-0005-0000-0000-00002C000000}"/>
    <cellStyle name="Schlecht" xfId="45" xr:uid="{00000000-0005-0000-0000-00002D000000}"/>
    <cellStyle name="Standard" xfId="0" builtinId="0"/>
    <cellStyle name="Standard 2" xfId="46" xr:uid="{00000000-0005-0000-0000-00002E000000}"/>
    <cellStyle name="Standard_BAYES" xfId="47" xr:uid="{00000000-0005-0000-0000-00002F000000}"/>
    <cellStyle name="Überschrift" xfId="48" xr:uid="{00000000-0005-0000-0000-000030000000}"/>
    <cellStyle name="Überschrift 1" xfId="49" xr:uid="{00000000-0005-0000-0000-000031000000}"/>
    <cellStyle name="Überschrift 2" xfId="50" xr:uid="{00000000-0005-0000-0000-000032000000}"/>
    <cellStyle name="Überschrift 3" xfId="51" xr:uid="{00000000-0005-0000-0000-000033000000}"/>
    <cellStyle name="Überschrift 4" xfId="52" xr:uid="{00000000-0005-0000-0000-000034000000}"/>
    <cellStyle name="Verknüpfte Zelle" xfId="53" xr:uid="{00000000-0005-0000-0000-000035000000}"/>
    <cellStyle name="Warnender Text" xfId="54" xr:uid="{00000000-0005-0000-0000-000036000000}"/>
    <cellStyle name="Zelle überprüfen" xfId="55" xr:uid="{00000000-0005-0000-0000-00003700000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23554481818924E-2"/>
          <c:y val="9.8332922990415711E-2"/>
          <c:w val="0.88031827404640151"/>
          <c:h val="0.73094139422875648"/>
        </c:manualLayout>
      </c:layout>
      <c:barChart>
        <c:barDir val="col"/>
        <c:grouping val="clustered"/>
        <c:varyColors val="0"/>
        <c:ser>
          <c:idx val="0"/>
          <c:order val="0"/>
          <c:tx>
            <c:strRef>
              <c:f>BAYES!$A$57</c:f>
              <c:strCache>
                <c:ptCount val="1"/>
                <c:pt idx="0">
                  <c:v>Posttest Probability negative Test</c:v>
                </c:pt>
              </c:strCache>
            </c:strRef>
          </c:tx>
          <c:spPr>
            <a:solidFill>
              <a:srgbClr val="99CC00"/>
            </a:solidFill>
            <a:ln w="12700">
              <a:solidFill>
                <a:srgbClr val="000000"/>
              </a:solidFill>
              <a:prstDash val="solid"/>
            </a:ln>
          </c:spPr>
          <c:invertIfNegative val="0"/>
          <c:dLbls>
            <c:spPr>
              <a:noFill/>
              <a:ln w="25400">
                <a:noFill/>
              </a:ln>
            </c:spPr>
            <c:txPr>
              <a:bodyPr/>
              <a:lstStyle/>
              <a:p>
                <a:pPr>
                  <a:defRPr sz="85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BAYES!$B$57:$E$57</c:f>
              <c:numCache>
                <c:formatCode>0.0</c:formatCode>
                <c:ptCount val="4"/>
                <c:pt idx="0">
                  <c:v>1.2</c:v>
                </c:pt>
                <c:pt idx="1">
                  <c:v>6</c:v>
                </c:pt>
                <c:pt idx="2">
                  <c:v>7.4</c:v>
                </c:pt>
                <c:pt idx="3">
                  <c:v>11.3</c:v>
                </c:pt>
              </c:numCache>
            </c:numRef>
          </c:val>
          <c:extLst>
            <c:ext xmlns:c16="http://schemas.microsoft.com/office/drawing/2014/chart" uri="{C3380CC4-5D6E-409C-BE32-E72D297353CC}">
              <c16:uniqueId val="{00000000-A11E-44CC-93A9-1EE4A20AEA61}"/>
            </c:ext>
          </c:extLst>
        </c:ser>
        <c:ser>
          <c:idx val="1"/>
          <c:order val="1"/>
          <c:tx>
            <c:strRef>
              <c:f>BAYES!$A$58</c:f>
              <c:strCache>
                <c:ptCount val="1"/>
                <c:pt idx="0">
                  <c:v>Pretest Probability for 10 years</c:v>
                </c:pt>
              </c:strCache>
            </c:strRef>
          </c:tx>
          <c:spPr>
            <a:solidFill>
              <a:srgbClr val="FFCC00"/>
            </a:solidFill>
            <a:ln w="12700">
              <a:solidFill>
                <a:srgbClr val="000000"/>
              </a:solidFill>
              <a:prstDash val="solid"/>
            </a:ln>
          </c:spPr>
          <c:invertIfNegative val="0"/>
          <c:dLbls>
            <c:spPr>
              <a:noFill/>
              <a:ln w="25400">
                <a:noFill/>
              </a:ln>
            </c:spPr>
            <c:txPr>
              <a:bodyPr/>
              <a:lstStyle/>
              <a:p>
                <a:pPr>
                  <a:defRPr sz="85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BAYES!$B$58:$E$58</c:f>
              <c:numCache>
                <c:formatCode>General</c:formatCode>
                <c:ptCount val="4"/>
                <c:pt idx="0">
                  <c:v>1.4</c:v>
                </c:pt>
                <c:pt idx="1">
                  <c:v>7.2</c:v>
                </c:pt>
                <c:pt idx="2">
                  <c:v>8.8000000000000007</c:v>
                </c:pt>
                <c:pt idx="3">
                  <c:v>13.4</c:v>
                </c:pt>
              </c:numCache>
            </c:numRef>
          </c:val>
          <c:extLst>
            <c:ext xmlns:c16="http://schemas.microsoft.com/office/drawing/2014/chart" uri="{C3380CC4-5D6E-409C-BE32-E72D297353CC}">
              <c16:uniqueId val="{00000001-A11E-44CC-93A9-1EE4A20AEA61}"/>
            </c:ext>
          </c:extLst>
        </c:ser>
        <c:ser>
          <c:idx val="2"/>
          <c:order val="2"/>
          <c:tx>
            <c:strRef>
              <c:f>BAYES!$A$59</c:f>
              <c:strCache>
                <c:ptCount val="1"/>
                <c:pt idx="0">
                  <c:v>Posttest Probability positive Test</c:v>
                </c:pt>
              </c:strCache>
            </c:strRef>
          </c:tx>
          <c:spPr>
            <a:solidFill>
              <a:srgbClr val="FF6600"/>
            </a:solidFill>
            <a:ln w="12700">
              <a:solidFill>
                <a:srgbClr val="000000"/>
              </a:solidFill>
              <a:prstDash val="solid"/>
            </a:ln>
          </c:spPr>
          <c:invertIfNegative val="0"/>
          <c:dLbls>
            <c:spPr>
              <a:noFill/>
              <a:ln w="25400">
                <a:noFill/>
              </a:ln>
            </c:spPr>
            <c:txPr>
              <a:bodyPr/>
              <a:lstStyle/>
              <a:p>
                <a:pPr>
                  <a:defRPr sz="85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BAYES!$B$59:$E$59</c:f>
              <c:numCache>
                <c:formatCode>0.0</c:formatCode>
                <c:ptCount val="4"/>
                <c:pt idx="0">
                  <c:v>3.6</c:v>
                </c:pt>
                <c:pt idx="1">
                  <c:v>16.8</c:v>
                </c:pt>
                <c:pt idx="2">
                  <c:v>20.100000000000001</c:v>
                </c:pt>
                <c:pt idx="3">
                  <c:v>28.7</c:v>
                </c:pt>
              </c:numCache>
            </c:numRef>
          </c:val>
          <c:extLst>
            <c:ext xmlns:c16="http://schemas.microsoft.com/office/drawing/2014/chart" uri="{C3380CC4-5D6E-409C-BE32-E72D297353CC}">
              <c16:uniqueId val="{00000002-A11E-44CC-93A9-1EE4A20AEA61}"/>
            </c:ext>
          </c:extLst>
        </c:ser>
        <c:dLbls>
          <c:showLegendKey val="0"/>
          <c:showVal val="1"/>
          <c:showCatName val="0"/>
          <c:showSerName val="0"/>
          <c:showPercent val="0"/>
          <c:showBubbleSize val="0"/>
        </c:dLbls>
        <c:gapWidth val="150"/>
        <c:axId val="51654656"/>
        <c:axId val="51656192"/>
      </c:barChart>
      <c:catAx>
        <c:axId val="51654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de-DE"/>
          </a:p>
        </c:txPr>
        <c:crossAx val="51656192"/>
        <c:crosses val="autoZero"/>
        <c:auto val="1"/>
        <c:lblAlgn val="ctr"/>
        <c:lblOffset val="100"/>
        <c:tickLblSkip val="1"/>
        <c:tickMarkSkip val="1"/>
        <c:noMultiLvlLbl val="0"/>
      </c:catAx>
      <c:valAx>
        <c:axId val="5165619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de-DE"/>
          </a:p>
        </c:txPr>
        <c:crossAx val="51654656"/>
        <c:crosses val="autoZero"/>
        <c:crossBetween val="between"/>
      </c:valAx>
      <c:spPr>
        <a:solidFill>
          <a:srgbClr val="FFFFFF"/>
        </a:solidFill>
        <a:ln w="12700">
          <a:solidFill>
            <a:srgbClr val="808080"/>
          </a:solidFill>
          <a:prstDash val="solid"/>
        </a:ln>
      </c:spPr>
    </c:plotArea>
    <c:legend>
      <c:legendPos val="r"/>
      <c:layout>
        <c:manualLayout>
          <c:xMode val="edge"/>
          <c:yMode val="edge"/>
          <c:x val="6.3573883161512024E-2"/>
          <c:y val="1.9672131147540985E-2"/>
          <c:w val="0.76116838487972505"/>
          <c:h val="0.23606557377049181"/>
        </c:manualLayout>
      </c:layout>
      <c:overlay val="0"/>
      <c:spPr>
        <a:solidFill>
          <a:srgbClr val="FFFFFF"/>
        </a:solidFill>
        <a:ln w="3175">
          <a:solidFill>
            <a:srgbClr val="000000"/>
          </a:solidFill>
          <a:prstDash val="solid"/>
        </a:ln>
      </c:spPr>
      <c:txPr>
        <a:bodyPr/>
        <a:lstStyle/>
        <a:p>
          <a:pPr>
            <a:defRPr sz="1285" b="1"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1" l="0.75000000000000056" r="0.75000000000000056" t="1" header="0.49212598450000028" footer="0.49212598450000028"/>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1.emf"/><Relationship Id="rId1" Type="http://schemas.openxmlformats.org/officeDocument/2006/relationships/image" Target="../media/image8.emf"/><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18</xdr:col>
      <xdr:colOff>361950</xdr:colOff>
      <xdr:row>34</xdr:row>
      <xdr:rowOff>114948</xdr:rowOff>
    </xdr:from>
    <xdr:to>
      <xdr:col>23</xdr:col>
      <xdr:colOff>600075</xdr:colOff>
      <xdr:row>46</xdr:row>
      <xdr:rowOff>19050</xdr:rowOff>
    </xdr:to>
    <xdr:pic>
      <xdr:nvPicPr>
        <xdr:cNvPr id="2" name="Picture 2">
          <a:extLst>
            <a:ext uri="{FF2B5EF4-FFF2-40B4-BE49-F238E27FC236}">
              <a16:creationId xmlns:a16="http://schemas.microsoft.com/office/drawing/2014/main" id="{3C9AF4F9-C499-4DAE-A6DD-8CA85EAD0D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649700" y="6591948"/>
          <a:ext cx="4762500" cy="2190102"/>
        </a:xfrm>
        <a:prstGeom prst="rect">
          <a:avLst/>
        </a:prstGeom>
        <a:noFill/>
        <a:ln w="9525">
          <a:noFill/>
          <a:miter lim="800000"/>
          <a:headEnd/>
          <a:tailEnd/>
        </a:ln>
      </xdr:spPr>
    </xdr:pic>
    <xdr:clientData/>
  </xdr:twoCellAnchor>
  <xdr:twoCellAnchor editAs="oneCell">
    <xdr:from>
      <xdr:col>17</xdr:col>
      <xdr:colOff>133350</xdr:colOff>
      <xdr:row>62</xdr:row>
      <xdr:rowOff>17997</xdr:rowOff>
    </xdr:from>
    <xdr:to>
      <xdr:col>22</xdr:col>
      <xdr:colOff>693838</xdr:colOff>
      <xdr:row>71</xdr:row>
      <xdr:rowOff>189949</xdr:rowOff>
    </xdr:to>
    <xdr:pic>
      <xdr:nvPicPr>
        <xdr:cNvPr id="3" name="Grafik 2">
          <a:extLst>
            <a:ext uri="{FF2B5EF4-FFF2-40B4-BE49-F238E27FC236}">
              <a16:creationId xmlns:a16="http://schemas.microsoft.com/office/drawing/2014/main" id="{45F2FE1A-C948-4D32-974D-276E0230ADB8}"/>
            </a:ext>
          </a:extLst>
        </xdr:cNvPr>
        <xdr:cNvPicPr>
          <a:picLocks noChangeAspect="1"/>
        </xdr:cNvPicPr>
      </xdr:nvPicPr>
      <xdr:blipFill>
        <a:blip xmlns:r="http://schemas.openxmlformats.org/officeDocument/2006/relationships" r:embed="rId2"/>
        <a:stretch>
          <a:fillRect/>
        </a:stretch>
      </xdr:blipFill>
      <xdr:spPr>
        <a:xfrm>
          <a:off x="15516225" y="11828997"/>
          <a:ext cx="5084863" cy="1886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361950</xdr:colOff>
      <xdr:row>34</xdr:row>
      <xdr:rowOff>114948</xdr:rowOff>
    </xdr:from>
    <xdr:to>
      <xdr:col>23</xdr:col>
      <xdr:colOff>600075</xdr:colOff>
      <xdr:row>46</xdr:row>
      <xdr:rowOff>19050</xdr:rowOff>
    </xdr:to>
    <xdr:pic>
      <xdr:nvPicPr>
        <xdr:cNvPr id="2" name="Picture 2">
          <a:extLst>
            <a:ext uri="{FF2B5EF4-FFF2-40B4-BE49-F238E27FC236}">
              <a16:creationId xmlns:a16="http://schemas.microsoft.com/office/drawing/2014/main" id="{3DD54C99-0651-4948-A405-BF2BE6768C9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649700" y="6591948"/>
          <a:ext cx="4762500" cy="2190102"/>
        </a:xfrm>
        <a:prstGeom prst="rect">
          <a:avLst/>
        </a:prstGeom>
        <a:noFill/>
        <a:ln w="9525">
          <a:noFill/>
          <a:miter lim="800000"/>
          <a:headEnd/>
          <a:tailEnd/>
        </a:ln>
      </xdr:spPr>
    </xdr:pic>
    <xdr:clientData/>
  </xdr:twoCellAnchor>
  <xdr:twoCellAnchor editAs="oneCell">
    <xdr:from>
      <xdr:col>17</xdr:col>
      <xdr:colOff>133350</xdr:colOff>
      <xdr:row>62</xdr:row>
      <xdr:rowOff>17997</xdr:rowOff>
    </xdr:from>
    <xdr:to>
      <xdr:col>22</xdr:col>
      <xdr:colOff>693838</xdr:colOff>
      <xdr:row>71</xdr:row>
      <xdr:rowOff>189949</xdr:rowOff>
    </xdr:to>
    <xdr:pic>
      <xdr:nvPicPr>
        <xdr:cNvPr id="3" name="Grafik 2">
          <a:extLst>
            <a:ext uri="{FF2B5EF4-FFF2-40B4-BE49-F238E27FC236}">
              <a16:creationId xmlns:a16="http://schemas.microsoft.com/office/drawing/2014/main" id="{1D1D401B-998A-437E-95A0-200314F5A1C7}"/>
            </a:ext>
          </a:extLst>
        </xdr:cNvPr>
        <xdr:cNvPicPr>
          <a:picLocks noChangeAspect="1"/>
        </xdr:cNvPicPr>
      </xdr:nvPicPr>
      <xdr:blipFill>
        <a:blip xmlns:r="http://schemas.openxmlformats.org/officeDocument/2006/relationships" r:embed="rId2"/>
        <a:stretch>
          <a:fillRect/>
        </a:stretch>
      </xdr:blipFill>
      <xdr:spPr>
        <a:xfrm>
          <a:off x="12382500" y="11828997"/>
          <a:ext cx="5084863" cy="18864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8</xdr:col>
      <xdr:colOff>0</xdr:colOff>
      <xdr:row>28</xdr:row>
      <xdr:rowOff>0</xdr:rowOff>
    </xdr:to>
    <xdr:pic>
      <xdr:nvPicPr>
        <xdr:cNvPr id="6145" name="Picture 1">
          <a:extLst>
            <a:ext uri="{FF2B5EF4-FFF2-40B4-BE49-F238E27FC236}">
              <a16:creationId xmlns:a16="http://schemas.microsoft.com/office/drawing/2014/main" id="{00000000-0008-0000-0200-00000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0"/>
          <a:ext cx="6086475" cy="5334000"/>
        </a:xfrm>
        <a:prstGeom prst="rect">
          <a:avLst/>
        </a:prstGeom>
        <a:noFill/>
        <a:ln w="9525">
          <a:noFill/>
          <a:miter lim="800000"/>
          <a:headEnd/>
          <a:tailEnd/>
        </a:ln>
      </xdr:spPr>
    </xdr:pic>
    <xdr:clientData/>
  </xdr:twoCellAnchor>
  <xdr:twoCellAnchor editAs="oneCell">
    <xdr:from>
      <xdr:col>9</xdr:col>
      <xdr:colOff>212954</xdr:colOff>
      <xdr:row>2</xdr:row>
      <xdr:rowOff>161925</xdr:rowOff>
    </xdr:from>
    <xdr:to>
      <xdr:col>15</xdr:col>
      <xdr:colOff>27812</xdr:colOff>
      <xdr:row>31</xdr:row>
      <xdr:rowOff>37161</xdr:rowOff>
    </xdr:to>
    <xdr:pic>
      <xdr:nvPicPr>
        <xdr:cNvPr id="2" name="Grafik 1">
          <a:extLst>
            <a:ext uri="{FF2B5EF4-FFF2-40B4-BE49-F238E27FC236}">
              <a16:creationId xmlns:a16="http://schemas.microsoft.com/office/drawing/2014/main" id="{42C34000-5017-C727-70C9-06F16FA8A30F}"/>
            </a:ext>
          </a:extLst>
        </xdr:cNvPr>
        <xdr:cNvPicPr>
          <a:picLocks noChangeAspect="1"/>
        </xdr:cNvPicPr>
      </xdr:nvPicPr>
      <xdr:blipFill>
        <a:blip xmlns:r="http://schemas.openxmlformats.org/officeDocument/2006/relationships" r:embed="rId2"/>
        <a:stretch>
          <a:fillRect/>
        </a:stretch>
      </xdr:blipFill>
      <xdr:spPr>
        <a:xfrm>
          <a:off x="7070954" y="542925"/>
          <a:ext cx="4386858" cy="53997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171450</xdr:colOff>
      <xdr:row>26</xdr:row>
      <xdr:rowOff>161925</xdr:rowOff>
    </xdr:to>
    <xdr:pic>
      <xdr:nvPicPr>
        <xdr:cNvPr id="7169" name="Picture 1">
          <a:extLst>
            <a:ext uri="{FF2B5EF4-FFF2-40B4-BE49-F238E27FC236}">
              <a16:creationId xmlns:a16="http://schemas.microsoft.com/office/drawing/2014/main" id="{00000000-0008-0000-0300-000001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553450" cy="5114925"/>
        </a:xfrm>
        <a:prstGeom prst="rect">
          <a:avLst/>
        </a:prstGeom>
        <a:noFill/>
        <a:ln w="9525">
          <a:noFill/>
          <a:miter lim="800000"/>
          <a:headEnd/>
          <a:tailEnd/>
        </a:ln>
      </xdr:spPr>
    </xdr:pic>
    <xdr:clientData/>
  </xdr:twoCellAnchor>
  <xdr:twoCellAnchor editAs="oneCell">
    <xdr:from>
      <xdr:col>15</xdr:col>
      <xdr:colOff>542924</xdr:colOff>
      <xdr:row>3</xdr:row>
      <xdr:rowOff>74920</xdr:rowOff>
    </xdr:from>
    <xdr:to>
      <xdr:col>22</xdr:col>
      <xdr:colOff>275798</xdr:colOff>
      <xdr:row>20</xdr:row>
      <xdr:rowOff>19050</xdr:rowOff>
    </xdr:to>
    <xdr:pic>
      <xdr:nvPicPr>
        <xdr:cNvPr id="2" name="Grafik 1">
          <a:extLst>
            <a:ext uri="{FF2B5EF4-FFF2-40B4-BE49-F238E27FC236}">
              <a16:creationId xmlns:a16="http://schemas.microsoft.com/office/drawing/2014/main" id="{0C83DD35-A33C-A122-653B-B4A74024D9C6}"/>
            </a:ext>
          </a:extLst>
        </xdr:cNvPr>
        <xdr:cNvPicPr>
          <a:picLocks noChangeAspect="1"/>
        </xdr:cNvPicPr>
      </xdr:nvPicPr>
      <xdr:blipFill>
        <a:blip xmlns:r="http://schemas.openxmlformats.org/officeDocument/2006/relationships" r:embed="rId2"/>
        <a:stretch>
          <a:fillRect/>
        </a:stretch>
      </xdr:blipFill>
      <xdr:spPr>
        <a:xfrm>
          <a:off x="11972924" y="646420"/>
          <a:ext cx="5066874" cy="3182630"/>
        </a:xfrm>
        <a:prstGeom prst="rect">
          <a:avLst/>
        </a:prstGeom>
      </xdr:spPr>
    </xdr:pic>
    <xdr:clientData/>
  </xdr:twoCellAnchor>
  <xdr:twoCellAnchor editAs="oneCell">
    <xdr:from>
      <xdr:col>11</xdr:col>
      <xdr:colOff>323493</xdr:colOff>
      <xdr:row>22</xdr:row>
      <xdr:rowOff>57150</xdr:rowOff>
    </xdr:from>
    <xdr:to>
      <xdr:col>20</xdr:col>
      <xdr:colOff>561974</xdr:colOff>
      <xdr:row>64</xdr:row>
      <xdr:rowOff>147869</xdr:rowOff>
    </xdr:to>
    <xdr:pic>
      <xdr:nvPicPr>
        <xdr:cNvPr id="3" name="Grafik 2">
          <a:extLst>
            <a:ext uri="{FF2B5EF4-FFF2-40B4-BE49-F238E27FC236}">
              <a16:creationId xmlns:a16="http://schemas.microsoft.com/office/drawing/2014/main" id="{454B0339-3241-4739-B4F9-0A60B656E032}"/>
            </a:ext>
          </a:extLst>
        </xdr:cNvPr>
        <xdr:cNvPicPr>
          <a:picLocks noChangeAspect="1"/>
        </xdr:cNvPicPr>
      </xdr:nvPicPr>
      <xdr:blipFill>
        <a:blip xmlns:r="http://schemas.openxmlformats.org/officeDocument/2006/relationships" r:embed="rId3"/>
        <a:stretch>
          <a:fillRect/>
        </a:stretch>
      </xdr:blipFill>
      <xdr:spPr>
        <a:xfrm>
          <a:off x="8705493" y="4248150"/>
          <a:ext cx="7096481" cy="8091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8</xdr:col>
      <xdr:colOff>180975</xdr:colOff>
      <xdr:row>12</xdr:row>
      <xdr:rowOff>133350</xdr:rowOff>
    </xdr:to>
    <xdr:pic>
      <xdr:nvPicPr>
        <xdr:cNvPr id="8193" name="Picture 1">
          <a:extLst>
            <a:ext uri="{FF2B5EF4-FFF2-40B4-BE49-F238E27FC236}">
              <a16:creationId xmlns:a16="http://schemas.microsoft.com/office/drawing/2014/main" id="{00000000-0008-0000-0400-000001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6238875" cy="2400300"/>
        </a:xfrm>
        <a:prstGeom prst="rect">
          <a:avLst/>
        </a:prstGeom>
        <a:noFill/>
        <a:ln w="9525">
          <a:noFill/>
          <a:miter lim="800000"/>
          <a:headEnd/>
          <a:tailEnd/>
        </a:ln>
      </xdr:spPr>
    </xdr:pic>
    <xdr:clientData/>
  </xdr:twoCellAnchor>
  <xdr:twoCellAnchor editAs="oneCell">
    <xdr:from>
      <xdr:col>0</xdr:col>
      <xdr:colOff>0</xdr:colOff>
      <xdr:row>13</xdr:row>
      <xdr:rowOff>0</xdr:rowOff>
    </xdr:from>
    <xdr:to>
      <xdr:col>9</xdr:col>
      <xdr:colOff>142875</xdr:colOff>
      <xdr:row>29</xdr:row>
      <xdr:rowOff>171450</xdr:rowOff>
    </xdr:to>
    <xdr:pic>
      <xdr:nvPicPr>
        <xdr:cNvPr id="8194" name="Picture 2">
          <a:extLst>
            <a:ext uri="{FF2B5EF4-FFF2-40B4-BE49-F238E27FC236}">
              <a16:creationId xmlns:a16="http://schemas.microsoft.com/office/drawing/2014/main" id="{00000000-0008-0000-0400-0000022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2476500"/>
          <a:ext cx="7000875" cy="3219450"/>
        </a:xfrm>
        <a:prstGeom prst="rect">
          <a:avLst/>
        </a:prstGeom>
        <a:noFill/>
        <a:ln w="9525">
          <a:noFill/>
          <a:miter lim="800000"/>
          <a:headEnd/>
          <a:tailEnd/>
        </a:ln>
      </xdr:spPr>
    </xdr:pic>
    <xdr:clientData/>
  </xdr:twoCellAnchor>
  <xdr:twoCellAnchor editAs="oneCell">
    <xdr:from>
      <xdr:col>0</xdr:col>
      <xdr:colOff>0</xdr:colOff>
      <xdr:row>33</xdr:row>
      <xdr:rowOff>0</xdr:rowOff>
    </xdr:from>
    <xdr:to>
      <xdr:col>8</xdr:col>
      <xdr:colOff>156043</xdr:colOff>
      <xdr:row>53</xdr:row>
      <xdr:rowOff>9525</xdr:rowOff>
    </xdr:to>
    <xdr:pic>
      <xdr:nvPicPr>
        <xdr:cNvPr id="2" name="Grafik 1">
          <a:extLst>
            <a:ext uri="{FF2B5EF4-FFF2-40B4-BE49-F238E27FC236}">
              <a16:creationId xmlns:a16="http://schemas.microsoft.com/office/drawing/2014/main" id="{684C7A95-2D57-4ADC-8F55-878489C78766}"/>
            </a:ext>
          </a:extLst>
        </xdr:cNvPr>
        <xdr:cNvPicPr>
          <a:picLocks noChangeAspect="1"/>
        </xdr:cNvPicPr>
      </xdr:nvPicPr>
      <xdr:blipFill>
        <a:blip xmlns:r="http://schemas.openxmlformats.org/officeDocument/2006/relationships" r:embed="rId3"/>
        <a:stretch>
          <a:fillRect/>
        </a:stretch>
      </xdr:blipFill>
      <xdr:spPr>
        <a:xfrm>
          <a:off x="0" y="6286500"/>
          <a:ext cx="6252043" cy="3819525"/>
        </a:xfrm>
        <a:prstGeom prst="rect">
          <a:avLst/>
        </a:prstGeom>
      </xdr:spPr>
    </xdr:pic>
    <xdr:clientData/>
  </xdr:twoCellAnchor>
  <xdr:twoCellAnchor editAs="oneCell">
    <xdr:from>
      <xdr:col>9</xdr:col>
      <xdr:colOff>323850</xdr:colOff>
      <xdr:row>1</xdr:row>
      <xdr:rowOff>133350</xdr:rowOff>
    </xdr:from>
    <xdr:to>
      <xdr:col>15</xdr:col>
      <xdr:colOff>623917</xdr:colOff>
      <xdr:row>27</xdr:row>
      <xdr:rowOff>37333</xdr:rowOff>
    </xdr:to>
    <xdr:pic>
      <xdr:nvPicPr>
        <xdr:cNvPr id="3" name="Grafik 2">
          <a:extLst>
            <a:ext uri="{FF2B5EF4-FFF2-40B4-BE49-F238E27FC236}">
              <a16:creationId xmlns:a16="http://schemas.microsoft.com/office/drawing/2014/main" id="{66DD2D68-F752-4817-B558-7E4FE7F139A4}"/>
            </a:ext>
          </a:extLst>
        </xdr:cNvPr>
        <xdr:cNvPicPr>
          <a:picLocks noChangeAspect="1"/>
        </xdr:cNvPicPr>
      </xdr:nvPicPr>
      <xdr:blipFill>
        <a:blip xmlns:r="http://schemas.openxmlformats.org/officeDocument/2006/relationships" r:embed="rId4"/>
        <a:stretch>
          <a:fillRect/>
        </a:stretch>
      </xdr:blipFill>
      <xdr:spPr>
        <a:xfrm>
          <a:off x="7181850" y="323850"/>
          <a:ext cx="4872067" cy="4856983"/>
        </a:xfrm>
        <a:prstGeom prst="rect">
          <a:avLst/>
        </a:prstGeom>
      </xdr:spPr>
    </xdr:pic>
    <xdr:clientData/>
  </xdr:twoCellAnchor>
  <xdr:twoCellAnchor editAs="oneCell">
    <xdr:from>
      <xdr:col>15</xdr:col>
      <xdr:colOff>577416</xdr:colOff>
      <xdr:row>1</xdr:row>
      <xdr:rowOff>47625</xdr:rowOff>
    </xdr:from>
    <xdr:to>
      <xdr:col>21</xdr:col>
      <xdr:colOff>389724</xdr:colOff>
      <xdr:row>26</xdr:row>
      <xdr:rowOff>151511</xdr:rowOff>
    </xdr:to>
    <xdr:pic>
      <xdr:nvPicPr>
        <xdr:cNvPr id="4" name="Grafik 3">
          <a:extLst>
            <a:ext uri="{FF2B5EF4-FFF2-40B4-BE49-F238E27FC236}">
              <a16:creationId xmlns:a16="http://schemas.microsoft.com/office/drawing/2014/main" id="{AB742760-6ADB-7229-B2DD-42C36CED5BFE}"/>
            </a:ext>
          </a:extLst>
        </xdr:cNvPr>
        <xdr:cNvPicPr>
          <a:picLocks noChangeAspect="1"/>
        </xdr:cNvPicPr>
      </xdr:nvPicPr>
      <xdr:blipFill>
        <a:blip xmlns:r="http://schemas.openxmlformats.org/officeDocument/2006/relationships" r:embed="rId5"/>
        <a:stretch>
          <a:fillRect/>
        </a:stretch>
      </xdr:blipFill>
      <xdr:spPr>
        <a:xfrm>
          <a:off x="12007416" y="238125"/>
          <a:ext cx="4384308" cy="4866386"/>
        </a:xfrm>
        <a:prstGeom prst="rect">
          <a:avLst/>
        </a:prstGeom>
      </xdr:spPr>
    </xdr:pic>
    <xdr:clientData/>
  </xdr:twoCellAnchor>
  <xdr:twoCellAnchor editAs="oneCell">
    <xdr:from>
      <xdr:col>9</xdr:col>
      <xdr:colOff>0</xdr:colOff>
      <xdr:row>30</xdr:row>
      <xdr:rowOff>0</xdr:rowOff>
    </xdr:from>
    <xdr:to>
      <xdr:col>17</xdr:col>
      <xdr:colOff>218286</xdr:colOff>
      <xdr:row>46</xdr:row>
      <xdr:rowOff>180571</xdr:rowOff>
    </xdr:to>
    <xdr:pic>
      <xdr:nvPicPr>
        <xdr:cNvPr id="5" name="Grafik 4">
          <a:extLst>
            <a:ext uri="{FF2B5EF4-FFF2-40B4-BE49-F238E27FC236}">
              <a16:creationId xmlns:a16="http://schemas.microsoft.com/office/drawing/2014/main" id="{4BD50546-E46D-E7E9-7FF9-08370D65F0E0}"/>
            </a:ext>
          </a:extLst>
        </xdr:cNvPr>
        <xdr:cNvPicPr>
          <a:picLocks noChangeAspect="1"/>
        </xdr:cNvPicPr>
      </xdr:nvPicPr>
      <xdr:blipFill>
        <a:blip xmlns:r="http://schemas.openxmlformats.org/officeDocument/2006/relationships" r:embed="rId6"/>
        <a:stretch>
          <a:fillRect/>
        </a:stretch>
      </xdr:blipFill>
      <xdr:spPr>
        <a:xfrm>
          <a:off x="6858000" y="5715000"/>
          <a:ext cx="6314286" cy="3228571"/>
        </a:xfrm>
        <a:prstGeom prst="rect">
          <a:avLst/>
        </a:prstGeom>
      </xdr:spPr>
    </xdr:pic>
    <xdr:clientData/>
  </xdr:twoCellAnchor>
  <xdr:twoCellAnchor editAs="oneCell">
    <xdr:from>
      <xdr:col>17</xdr:col>
      <xdr:colOff>323850</xdr:colOff>
      <xdr:row>30</xdr:row>
      <xdr:rowOff>31909</xdr:rowOff>
    </xdr:from>
    <xdr:to>
      <xdr:col>22</xdr:col>
      <xdr:colOff>627888</xdr:colOff>
      <xdr:row>44</xdr:row>
      <xdr:rowOff>180454</xdr:rowOff>
    </xdr:to>
    <xdr:pic>
      <xdr:nvPicPr>
        <xdr:cNvPr id="7" name="Grafik 6">
          <a:extLst>
            <a:ext uri="{FF2B5EF4-FFF2-40B4-BE49-F238E27FC236}">
              <a16:creationId xmlns:a16="http://schemas.microsoft.com/office/drawing/2014/main" id="{ED001221-F1E6-B4A5-A69B-C311D93A0183}"/>
            </a:ext>
          </a:extLst>
        </xdr:cNvPr>
        <xdr:cNvPicPr>
          <a:picLocks noChangeAspect="1"/>
        </xdr:cNvPicPr>
      </xdr:nvPicPr>
      <xdr:blipFill>
        <a:blip xmlns:r="http://schemas.openxmlformats.org/officeDocument/2006/relationships" r:embed="rId7"/>
        <a:stretch>
          <a:fillRect/>
        </a:stretch>
      </xdr:blipFill>
      <xdr:spPr>
        <a:xfrm>
          <a:off x="13277850" y="5746909"/>
          <a:ext cx="4114038" cy="28155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114300</xdr:colOff>
      <xdr:row>30</xdr:row>
      <xdr:rowOff>98280</xdr:rowOff>
    </xdr:to>
    <xdr:pic>
      <xdr:nvPicPr>
        <xdr:cNvPr id="2" name="Grafik 1">
          <a:extLst>
            <a:ext uri="{FF2B5EF4-FFF2-40B4-BE49-F238E27FC236}">
              <a16:creationId xmlns:a16="http://schemas.microsoft.com/office/drawing/2014/main" id="{297914E9-807A-970E-7B15-23845A4FE855}"/>
            </a:ext>
          </a:extLst>
        </xdr:cNvPr>
        <xdr:cNvPicPr>
          <a:picLocks noChangeAspect="1"/>
        </xdr:cNvPicPr>
      </xdr:nvPicPr>
      <xdr:blipFill>
        <a:blip xmlns:r="http://schemas.openxmlformats.org/officeDocument/2006/relationships" r:embed="rId1"/>
        <a:stretch>
          <a:fillRect/>
        </a:stretch>
      </xdr:blipFill>
      <xdr:spPr>
        <a:xfrm>
          <a:off x="762000" y="381000"/>
          <a:ext cx="7734300" cy="5432280"/>
        </a:xfrm>
        <a:prstGeom prst="rect">
          <a:avLst/>
        </a:prstGeom>
      </xdr:spPr>
    </xdr:pic>
    <xdr:clientData/>
  </xdr:twoCellAnchor>
  <xdr:twoCellAnchor editAs="oneCell">
    <xdr:from>
      <xdr:col>12</xdr:col>
      <xdr:colOff>57150</xdr:colOff>
      <xdr:row>2</xdr:row>
      <xdr:rowOff>114300</xdr:rowOff>
    </xdr:from>
    <xdr:to>
      <xdr:col>17</xdr:col>
      <xdr:colOff>323340</xdr:colOff>
      <xdr:row>16</xdr:row>
      <xdr:rowOff>142538</xdr:rowOff>
    </xdr:to>
    <xdr:pic>
      <xdr:nvPicPr>
        <xdr:cNvPr id="3" name="Grafik 2">
          <a:extLst>
            <a:ext uri="{FF2B5EF4-FFF2-40B4-BE49-F238E27FC236}">
              <a16:creationId xmlns:a16="http://schemas.microsoft.com/office/drawing/2014/main" id="{8F61B8B8-3726-2ACB-1364-EAFE49FFD7B0}"/>
            </a:ext>
          </a:extLst>
        </xdr:cNvPr>
        <xdr:cNvPicPr>
          <a:picLocks noChangeAspect="1"/>
        </xdr:cNvPicPr>
      </xdr:nvPicPr>
      <xdr:blipFill>
        <a:blip xmlns:r="http://schemas.openxmlformats.org/officeDocument/2006/relationships" r:embed="rId2"/>
        <a:stretch>
          <a:fillRect/>
        </a:stretch>
      </xdr:blipFill>
      <xdr:spPr>
        <a:xfrm>
          <a:off x="9201150" y="495300"/>
          <a:ext cx="4076190" cy="26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49</xdr:row>
      <xdr:rowOff>200025</xdr:rowOff>
    </xdr:from>
    <xdr:to>
      <xdr:col>15</xdr:col>
      <xdr:colOff>238125</xdr:colOff>
      <xdr:row>59</xdr:row>
      <xdr:rowOff>19050</xdr:rowOff>
    </xdr:to>
    <xdr:graphicFrame macro="">
      <xdr:nvGraphicFramePr>
        <xdr:cNvPr id="5121" name="Chart 1">
          <a:extLst>
            <a:ext uri="{FF2B5EF4-FFF2-40B4-BE49-F238E27FC236}">
              <a16:creationId xmlns:a16="http://schemas.microsoft.com/office/drawing/2014/main" id="{00000000-0008-0000-0600-000001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250825</xdr:colOff>
      <xdr:row>12</xdr:row>
      <xdr:rowOff>179916</xdr:rowOff>
    </xdr:from>
    <xdr:to>
      <xdr:col>12</xdr:col>
      <xdr:colOff>612775</xdr:colOff>
      <xdr:row>37</xdr:row>
      <xdr:rowOff>132291</xdr:rowOff>
    </xdr:to>
    <xdr:pic>
      <xdr:nvPicPr>
        <xdr:cNvPr id="10241" name="Picture 1">
          <a:extLst>
            <a:ext uri="{FF2B5EF4-FFF2-40B4-BE49-F238E27FC236}">
              <a16:creationId xmlns:a16="http://schemas.microsoft.com/office/drawing/2014/main" id="{00000000-0008-0000-0700-000001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76825" y="2677583"/>
          <a:ext cx="6457950" cy="47148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ancer.gov/bcrisktool/def-biopsy.html" TargetMode="External"/><Relationship Id="rId1" Type="http://schemas.openxmlformats.org/officeDocument/2006/relationships/hyperlink" Target="http://www.cancer.gov/bcrisktool/def-menst.html"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G103"/>
  <sheetViews>
    <sheetView topLeftCell="A50" zoomScale="130" workbookViewId="0">
      <selection activeCell="G98" sqref="G98"/>
    </sheetView>
  </sheetViews>
  <sheetFormatPr baseColWidth="10" defaultColWidth="11.42578125" defaultRowHeight="15" x14ac:dyDescent="0.25"/>
  <cols>
    <col min="1" max="1" width="3.5703125" style="10" customWidth="1"/>
    <col min="2" max="2" width="82.7109375" style="10" customWidth="1"/>
    <col min="3" max="4" width="11.42578125" style="10"/>
    <col min="5" max="5" width="3" style="10" customWidth="1"/>
    <col min="6" max="16384" width="11.42578125" style="10"/>
  </cols>
  <sheetData>
    <row r="2" spans="2:7" ht="23.25" x14ac:dyDescent="0.35">
      <c r="B2" s="14" t="s">
        <v>45</v>
      </c>
      <c r="C2" s="15"/>
      <c r="G2" s="10" t="s">
        <v>171</v>
      </c>
    </row>
    <row r="3" spans="2:7" x14ac:dyDescent="0.25">
      <c r="B3" s="13" t="s">
        <v>46</v>
      </c>
    </row>
    <row r="4" spans="2:7" x14ac:dyDescent="0.25">
      <c r="B4" s="65" t="s">
        <v>246</v>
      </c>
    </row>
    <row r="5" spans="2:7" x14ac:dyDescent="0.25">
      <c r="B5" s="13" t="s">
        <v>0</v>
      </c>
    </row>
    <row r="6" spans="2:7" ht="18.75" x14ac:dyDescent="0.3">
      <c r="B6" s="16" t="s">
        <v>199</v>
      </c>
    </row>
    <row r="7" spans="2:7" x14ac:dyDescent="0.25">
      <c r="B7" s="13"/>
    </row>
    <row r="8" spans="2:7" x14ac:dyDescent="0.25">
      <c r="B8" s="11" t="s">
        <v>30</v>
      </c>
    </row>
    <row r="9" spans="2:7" x14ac:dyDescent="0.25">
      <c r="B9" s="11" t="s">
        <v>29</v>
      </c>
    </row>
    <row r="10" spans="2:7" x14ac:dyDescent="0.25">
      <c r="B10" s="11" t="s">
        <v>97</v>
      </c>
    </row>
    <row r="11" spans="2:7" x14ac:dyDescent="0.25">
      <c r="B11" s="11" t="s">
        <v>98</v>
      </c>
    </row>
    <row r="12" spans="2:7" x14ac:dyDescent="0.25">
      <c r="B12" s="11" t="s">
        <v>99</v>
      </c>
    </row>
    <row r="13" spans="2:7" x14ac:dyDescent="0.25">
      <c r="B13" s="11"/>
    </row>
    <row r="15" spans="2:7" ht="23.25" x14ac:dyDescent="0.35">
      <c r="B15" s="14" t="s">
        <v>2</v>
      </c>
    </row>
    <row r="16" spans="2:7" x14ac:dyDescent="0.25">
      <c r="B16" s="10" t="s">
        <v>31</v>
      </c>
    </row>
    <row r="17" spans="2:5" x14ac:dyDescent="0.25">
      <c r="B17" s="10" t="s">
        <v>33</v>
      </c>
    </row>
    <row r="18" spans="2:5" x14ac:dyDescent="0.25">
      <c r="B18" s="10" t="s">
        <v>32</v>
      </c>
    </row>
    <row r="19" spans="2:5" x14ac:dyDescent="0.25">
      <c r="B19" s="10" t="s">
        <v>37</v>
      </c>
    </row>
    <row r="20" spans="2:5" x14ac:dyDescent="0.25">
      <c r="B20" s="10" t="s">
        <v>34</v>
      </c>
    </row>
    <row r="21" spans="2:5" x14ac:dyDescent="0.25">
      <c r="B21" s="10" t="s">
        <v>35</v>
      </c>
    </row>
    <row r="22" spans="2:5" x14ac:dyDescent="0.25">
      <c r="B22" s="10" t="s">
        <v>36</v>
      </c>
    </row>
    <row r="23" spans="2:5" x14ac:dyDescent="0.25">
      <c r="B23" s="10" t="s">
        <v>38</v>
      </c>
    </row>
    <row r="24" spans="2:5" x14ac:dyDescent="0.25">
      <c r="B24" s="10" t="s">
        <v>39</v>
      </c>
    </row>
    <row r="25" spans="2:5" x14ac:dyDescent="0.25">
      <c r="B25" s="10" t="s">
        <v>40</v>
      </c>
    </row>
    <row r="26" spans="2:5" x14ac:dyDescent="0.25">
      <c r="B26" s="10" t="s">
        <v>200</v>
      </c>
      <c r="D26" s="10">
        <v>810</v>
      </c>
      <c r="E26" s="10" t="s">
        <v>0</v>
      </c>
    </row>
    <row r="27" spans="2:5" x14ac:dyDescent="0.25">
      <c r="B27" s="10" t="s">
        <v>203</v>
      </c>
      <c r="D27" s="10">
        <v>-1.3999999999999999E-4</v>
      </c>
    </row>
    <row r="28" spans="2:5" x14ac:dyDescent="0.25">
      <c r="B28" s="10" t="s">
        <v>204</v>
      </c>
      <c r="D28" s="12">
        <f>D26/D27</f>
        <v>-5785714.2857142864</v>
      </c>
    </row>
    <row r="29" spans="2:5" x14ac:dyDescent="0.25">
      <c r="B29" s="10" t="s">
        <v>41</v>
      </c>
    </row>
    <row r="31" spans="2:5" ht="23.25" x14ac:dyDescent="0.35">
      <c r="B31" s="14" t="s">
        <v>3</v>
      </c>
    </row>
    <row r="32" spans="2:5" x14ac:dyDescent="0.25">
      <c r="B32" s="10" t="s">
        <v>205</v>
      </c>
    </row>
    <row r="33" spans="2:4" x14ac:dyDescent="0.25">
      <c r="B33" s="10" t="s">
        <v>201</v>
      </c>
    </row>
    <row r="34" spans="2:4" x14ac:dyDescent="0.25">
      <c r="B34" s="10" t="s">
        <v>202</v>
      </c>
    </row>
    <row r="35" spans="2:4" x14ac:dyDescent="0.25">
      <c r="B35" s="10" t="s">
        <v>42</v>
      </c>
    </row>
    <row r="36" spans="2:4" x14ac:dyDescent="0.25">
      <c r="B36" s="10" t="s">
        <v>47</v>
      </c>
    </row>
    <row r="37" spans="2:4" x14ac:dyDescent="0.25">
      <c r="B37" s="10" t="s">
        <v>48</v>
      </c>
      <c r="D37" s="10">
        <v>810</v>
      </c>
    </row>
    <row r="38" spans="2:4" x14ac:dyDescent="0.25">
      <c r="B38" s="10" t="s">
        <v>43</v>
      </c>
      <c r="D38" s="47">
        <v>3.2741666666668608E-3</v>
      </c>
    </row>
    <row r="39" spans="2:4" x14ac:dyDescent="0.25">
      <c r="B39" s="10" t="s">
        <v>206</v>
      </c>
      <c r="D39" s="12">
        <f>D37/D38</f>
        <v>247391.19368794665</v>
      </c>
    </row>
    <row r="40" spans="2:4" x14ac:dyDescent="0.25">
      <c r="B40" s="10" t="s">
        <v>44</v>
      </c>
    </row>
    <row r="42" spans="2:4" ht="23.25" x14ac:dyDescent="0.35">
      <c r="B42" s="14" t="s">
        <v>49</v>
      </c>
    </row>
    <row r="43" spans="2:4" x14ac:dyDescent="0.25">
      <c r="B43" s="10" t="s">
        <v>50</v>
      </c>
    </row>
    <row r="44" spans="2:4" x14ac:dyDescent="0.25">
      <c r="B44" s="10" t="s">
        <v>51</v>
      </c>
    </row>
    <row r="45" spans="2:4" x14ac:dyDescent="0.25">
      <c r="B45" s="10" t="s">
        <v>207</v>
      </c>
    </row>
    <row r="46" spans="2:4" x14ac:dyDescent="0.25">
      <c r="B46" s="10" t="s">
        <v>55</v>
      </c>
    </row>
    <row r="47" spans="2:4" x14ac:dyDescent="0.25">
      <c r="B47" s="10" t="s">
        <v>208</v>
      </c>
    </row>
    <row r="48" spans="2:4" x14ac:dyDescent="0.25">
      <c r="B48" s="10" t="s">
        <v>52</v>
      </c>
    </row>
    <row r="49" spans="2:4" x14ac:dyDescent="0.25">
      <c r="B49" s="10" t="s">
        <v>53</v>
      </c>
    </row>
    <row r="50" spans="2:4" x14ac:dyDescent="0.25">
      <c r="B50" s="10" t="s">
        <v>54</v>
      </c>
      <c r="D50" s="10">
        <v>810</v>
      </c>
    </row>
    <row r="51" spans="2:4" x14ac:dyDescent="0.25">
      <c r="B51" s="10" t="s">
        <v>56</v>
      </c>
      <c r="D51" s="10">
        <v>1.627416666666686E-2</v>
      </c>
    </row>
    <row r="52" spans="2:4" x14ac:dyDescent="0.25">
      <c r="B52" s="10" t="s">
        <v>57</v>
      </c>
      <c r="D52" s="12">
        <f>D50/D51</f>
        <v>49772.133749807384</v>
      </c>
    </row>
    <row r="53" spans="2:4" x14ac:dyDescent="0.25">
      <c r="B53" s="10" t="s">
        <v>58</v>
      </c>
    </row>
    <row r="55" spans="2:4" ht="23.25" x14ac:dyDescent="0.35">
      <c r="B55" s="14" t="s">
        <v>6</v>
      </c>
    </row>
    <row r="56" spans="2:4" x14ac:dyDescent="0.25">
      <c r="B56" s="10" t="s">
        <v>59</v>
      </c>
    </row>
    <row r="57" spans="2:4" x14ac:dyDescent="0.25">
      <c r="B57" s="10" t="s">
        <v>60</v>
      </c>
    </row>
    <row r="58" spans="2:4" x14ac:dyDescent="0.25">
      <c r="B58" s="10" t="s">
        <v>64</v>
      </c>
      <c r="D58" s="10">
        <v>810</v>
      </c>
    </row>
    <row r="59" spans="2:4" x14ac:dyDescent="0.25">
      <c r="B59" s="10" t="s">
        <v>56</v>
      </c>
      <c r="D59" s="10">
        <v>2.5024166666666861E-2</v>
      </c>
    </row>
    <row r="60" spans="2:4" x14ac:dyDescent="0.25">
      <c r="B60" s="10" t="s">
        <v>209</v>
      </c>
      <c r="D60" s="12">
        <f>D58/D59</f>
        <v>32368.710246761213</v>
      </c>
    </row>
    <row r="62" spans="2:4" ht="23.25" x14ac:dyDescent="0.35">
      <c r="B62" s="14" t="s">
        <v>65</v>
      </c>
    </row>
    <row r="63" spans="2:4" x14ac:dyDescent="0.25">
      <c r="B63" s="10" t="s">
        <v>66</v>
      </c>
    </row>
    <row r="64" spans="2:4" x14ac:dyDescent="0.25">
      <c r="B64" s="10" t="s">
        <v>67</v>
      </c>
    </row>
    <row r="65" spans="2:2" x14ac:dyDescent="0.25">
      <c r="B65" s="10" t="s">
        <v>210</v>
      </c>
    </row>
    <row r="66" spans="2:2" x14ac:dyDescent="0.25">
      <c r="B66" s="10" t="s">
        <v>211</v>
      </c>
    </row>
    <row r="69" spans="2:2" ht="23.25" x14ac:dyDescent="0.35">
      <c r="B69" s="14" t="s">
        <v>68</v>
      </c>
    </row>
    <row r="70" spans="2:2" x14ac:dyDescent="0.25">
      <c r="B70" s="10" t="s">
        <v>212</v>
      </c>
    </row>
    <row r="71" spans="2:2" x14ac:dyDescent="0.25">
      <c r="B71" s="10" t="s">
        <v>69</v>
      </c>
    </row>
    <row r="72" spans="2:2" x14ac:dyDescent="0.25">
      <c r="B72" s="10" t="s">
        <v>70</v>
      </c>
    </row>
    <row r="74" spans="2:2" ht="23.25" x14ac:dyDescent="0.35">
      <c r="B74" s="14" t="s">
        <v>216</v>
      </c>
    </row>
    <row r="75" spans="2:2" x14ac:dyDescent="0.25">
      <c r="B75" s="10" t="s">
        <v>95</v>
      </c>
    </row>
    <row r="76" spans="2:2" x14ac:dyDescent="0.25">
      <c r="B76" s="10" t="s">
        <v>121</v>
      </c>
    </row>
    <row r="77" spans="2:2" x14ac:dyDescent="0.25">
      <c r="B77" s="10" t="s">
        <v>96</v>
      </c>
    </row>
    <row r="78" spans="2:2" x14ac:dyDescent="0.25">
      <c r="B78" s="10" t="s">
        <v>214</v>
      </c>
    </row>
    <row r="79" spans="2:2" x14ac:dyDescent="0.25">
      <c r="B79" s="10" t="s">
        <v>215</v>
      </c>
    </row>
    <row r="80" spans="2:2" x14ac:dyDescent="0.25">
      <c r="B80" s="10" t="s">
        <v>0</v>
      </c>
    </row>
    <row r="81" spans="2:6" ht="23.25" x14ac:dyDescent="0.35">
      <c r="B81" s="14" t="s">
        <v>217</v>
      </c>
    </row>
    <row r="82" spans="2:6" x14ac:dyDescent="0.25">
      <c r="B82" s="10" t="s">
        <v>218</v>
      </c>
      <c r="F82" s="10" t="s">
        <v>0</v>
      </c>
    </row>
    <row r="83" spans="2:6" x14ac:dyDescent="0.25">
      <c r="B83" s="10" t="s">
        <v>219</v>
      </c>
    </row>
    <row r="84" spans="2:6" x14ac:dyDescent="0.25">
      <c r="B84" s="10" t="s">
        <v>220</v>
      </c>
    </row>
    <row r="85" spans="2:6" x14ac:dyDescent="0.25">
      <c r="B85" s="10" t="s">
        <v>221</v>
      </c>
    </row>
    <row r="86" spans="2:6" x14ac:dyDescent="0.25">
      <c r="B86" s="10" t="s">
        <v>222</v>
      </c>
    </row>
    <row r="87" spans="2:6" x14ac:dyDescent="0.25">
      <c r="B87" s="10" t="s">
        <v>223</v>
      </c>
    </row>
    <row r="88" spans="2:6" x14ac:dyDescent="0.25">
      <c r="B88" s="10" t="s">
        <v>224</v>
      </c>
    </row>
    <row r="89" spans="2:6" x14ac:dyDescent="0.25">
      <c r="B89" s="10" t="s">
        <v>225</v>
      </c>
    </row>
    <row r="90" spans="2:6" x14ac:dyDescent="0.25">
      <c r="B90" s="10" t="s">
        <v>226</v>
      </c>
    </row>
    <row r="91" spans="2:6" x14ac:dyDescent="0.25">
      <c r="B91" s="10" t="s">
        <v>227</v>
      </c>
    </row>
    <row r="92" spans="2:6" x14ac:dyDescent="0.25">
      <c r="B92" s="10" t="s">
        <v>228</v>
      </c>
    </row>
    <row r="93" spans="2:6" x14ac:dyDescent="0.25">
      <c r="B93" s="10" t="s">
        <v>229</v>
      </c>
    </row>
    <row r="94" spans="2:6" x14ac:dyDescent="0.25">
      <c r="B94" s="10" t="s">
        <v>236</v>
      </c>
    </row>
    <row r="95" spans="2:6" x14ac:dyDescent="0.25">
      <c r="B95" s="10" t="s">
        <v>0</v>
      </c>
    </row>
    <row r="96" spans="2:6" ht="23.25" x14ac:dyDescent="0.35">
      <c r="B96" s="14" t="s">
        <v>237</v>
      </c>
    </row>
    <row r="97" spans="2:7" x14ac:dyDescent="0.25">
      <c r="B97" s="10" t="s">
        <v>238</v>
      </c>
      <c r="G97" s="10">
        <f>18*16</f>
        <v>288</v>
      </c>
    </row>
    <row r="98" spans="2:7" x14ac:dyDescent="0.25">
      <c r="B98" s="10" t="s">
        <v>239</v>
      </c>
    </row>
    <row r="99" spans="2:7" x14ac:dyDescent="0.25">
      <c r="B99" s="10" t="s">
        <v>240</v>
      </c>
    </row>
    <row r="100" spans="2:7" x14ac:dyDescent="0.25">
      <c r="B100" s="10" t="s">
        <v>241</v>
      </c>
    </row>
    <row r="101" spans="2:7" x14ac:dyDescent="0.25">
      <c r="B101" s="10" t="s">
        <v>242</v>
      </c>
    </row>
    <row r="102" spans="2:7" x14ac:dyDescent="0.25">
      <c r="B102" s="10" t="s">
        <v>243</v>
      </c>
    </row>
    <row r="103" spans="2:7" x14ac:dyDescent="0.25">
      <c r="B103" s="10" t="s">
        <v>244</v>
      </c>
    </row>
  </sheetData>
  <phoneticPr fontId="3" type="noConversion"/>
  <pageMargins left="0.7" right="0.7" top="0.78740157499999996" bottom="0.78740157499999996"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E9CB0-AEAB-483C-AACF-C15AB21CE226}">
  <dimension ref="A1"/>
  <sheetViews>
    <sheetView workbookViewId="0">
      <selection activeCell="M21" sqref="M21"/>
    </sheetView>
  </sheetViews>
  <sheetFormatPr baseColWidth="10" defaultRowHeight="15" x14ac:dyDescent="0.25"/>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9"/>
  <sheetViews>
    <sheetView topLeftCell="A34" zoomScale="115" workbookViewId="0">
      <selection activeCell="E64" sqref="E64"/>
    </sheetView>
  </sheetViews>
  <sheetFormatPr baseColWidth="10" defaultColWidth="11.42578125" defaultRowHeight="15" x14ac:dyDescent="0.25"/>
  <cols>
    <col min="1" max="1" width="31.140625" style="10" customWidth="1"/>
    <col min="2" max="4" width="7.7109375" style="10" customWidth="1"/>
    <col min="5" max="5" width="35.5703125" style="10" customWidth="1"/>
    <col min="6" max="14" width="7.7109375" style="10" customWidth="1"/>
    <col min="15" max="16384" width="11.42578125" style="10"/>
  </cols>
  <sheetData>
    <row r="1" spans="1:14" ht="23.25" x14ac:dyDescent="0.35">
      <c r="A1" s="14" t="s">
        <v>71</v>
      </c>
      <c r="B1" s="1" t="s">
        <v>14</v>
      </c>
      <c r="C1" s="1" t="s">
        <v>8</v>
      </c>
      <c r="D1" s="1" t="s">
        <v>7</v>
      </c>
      <c r="E1" s="1" t="s">
        <v>15</v>
      </c>
      <c r="F1" s="1" t="s">
        <v>16</v>
      </c>
      <c r="G1" s="1" t="s">
        <v>17</v>
      </c>
      <c r="H1" s="1" t="s">
        <v>18</v>
      </c>
      <c r="I1" s="1" t="s">
        <v>19</v>
      </c>
      <c r="J1" s="1" t="s">
        <v>20</v>
      </c>
      <c r="K1" s="1" t="s">
        <v>21</v>
      </c>
      <c r="L1" s="2" t="s">
        <v>22</v>
      </c>
      <c r="M1" s="2" t="s">
        <v>23</v>
      </c>
      <c r="N1" s="2" t="s">
        <v>24</v>
      </c>
    </row>
    <row r="2" spans="1:14" ht="23.25" x14ac:dyDescent="0.35">
      <c r="A2" s="14" t="s">
        <v>72</v>
      </c>
      <c r="B2" s="1">
        <v>175</v>
      </c>
      <c r="C2" s="1">
        <v>8800</v>
      </c>
      <c r="D2" s="1">
        <v>1025</v>
      </c>
      <c r="E2" s="1">
        <v>500</v>
      </c>
      <c r="F2" s="28">
        <f>((B2)/(B2+E2))*100</f>
        <v>25.925925925925924</v>
      </c>
      <c r="G2" s="28">
        <f>C2/(C2+D2)*100</f>
        <v>89.56743002544529</v>
      </c>
      <c r="H2" s="28">
        <f>B2/(B2+D2)*100</f>
        <v>14.583333333333334</v>
      </c>
      <c r="I2" s="28">
        <f>C2/(C2+E2)*100</f>
        <v>94.623655913978496</v>
      </c>
      <c r="J2" s="28">
        <f>((B2+C2)/(B2+C2+D2+E2))*100</f>
        <v>85.476190476190467</v>
      </c>
      <c r="K2" s="28">
        <f>B2+C2+D2+E2</f>
        <v>10500</v>
      </c>
      <c r="L2" s="30">
        <f>F2/(100-G2)</f>
        <v>2.4850948509485087</v>
      </c>
      <c r="M2" s="29">
        <f>(100-F2)/G2</f>
        <v>0.8270202020202021</v>
      </c>
      <c r="N2" s="31">
        <f>((B2+E2)*100)/K2</f>
        <v>6.4285714285714288</v>
      </c>
    </row>
    <row r="3" spans="1:14" x14ac:dyDescent="0.25">
      <c r="C3" s="1"/>
      <c r="D3" s="1"/>
      <c r="E3" s="1"/>
      <c r="F3" s="1"/>
      <c r="G3" s="1"/>
      <c r="H3" s="1"/>
      <c r="I3" s="1"/>
      <c r="J3" s="1"/>
      <c r="K3" s="1"/>
      <c r="L3" s="1"/>
      <c r="M3" s="1"/>
      <c r="N3" s="1"/>
    </row>
    <row r="4" spans="1:14" x14ac:dyDescent="0.25">
      <c r="A4" s="11" t="s">
        <v>93</v>
      </c>
      <c r="B4" s="11" t="s">
        <v>14</v>
      </c>
      <c r="C4" s="10" t="s">
        <v>73</v>
      </c>
      <c r="F4" s="11" t="s">
        <v>16</v>
      </c>
      <c r="G4" s="10" t="s">
        <v>77</v>
      </c>
      <c r="J4" s="11" t="s">
        <v>20</v>
      </c>
      <c r="K4" s="10" t="s">
        <v>84</v>
      </c>
    </row>
    <row r="5" spans="1:14" x14ac:dyDescent="0.25">
      <c r="A5" s="10" t="s">
        <v>0</v>
      </c>
      <c r="B5" s="11" t="s">
        <v>8</v>
      </c>
      <c r="C5" s="10" t="s">
        <v>74</v>
      </c>
      <c r="F5" s="11" t="s">
        <v>17</v>
      </c>
      <c r="G5" s="10" t="s">
        <v>78</v>
      </c>
      <c r="J5" s="11" t="s">
        <v>21</v>
      </c>
      <c r="K5" s="10" t="s">
        <v>85</v>
      </c>
    </row>
    <row r="6" spans="1:14" x14ac:dyDescent="0.25">
      <c r="A6" s="10" t="s">
        <v>0</v>
      </c>
      <c r="B6" s="11" t="s">
        <v>7</v>
      </c>
      <c r="C6" s="10" t="s">
        <v>75</v>
      </c>
      <c r="F6" s="11" t="s">
        <v>79</v>
      </c>
      <c r="G6" s="10" t="s">
        <v>80</v>
      </c>
      <c r="J6" s="11" t="s">
        <v>86</v>
      </c>
      <c r="K6" s="10" t="s">
        <v>87</v>
      </c>
    </row>
    <row r="7" spans="1:14" x14ac:dyDescent="0.25">
      <c r="A7" s="10" t="s">
        <v>0</v>
      </c>
      <c r="B7" s="11" t="s">
        <v>15</v>
      </c>
      <c r="C7" s="10" t="s">
        <v>76</v>
      </c>
      <c r="F7" s="11" t="s">
        <v>18</v>
      </c>
      <c r="G7" s="10" t="s">
        <v>81</v>
      </c>
      <c r="J7" s="11" t="s">
        <v>22</v>
      </c>
      <c r="K7" s="10" t="s">
        <v>88</v>
      </c>
    </row>
    <row r="8" spans="1:14" x14ac:dyDescent="0.25">
      <c r="F8" s="11" t="s">
        <v>82</v>
      </c>
      <c r="G8" s="10" t="s">
        <v>83</v>
      </c>
      <c r="J8" s="11" t="s">
        <v>23</v>
      </c>
      <c r="K8" s="10" t="s">
        <v>89</v>
      </c>
    </row>
    <row r="9" spans="1:14" x14ac:dyDescent="0.25">
      <c r="J9" s="11" t="s">
        <v>24</v>
      </c>
      <c r="K9" s="10" t="s">
        <v>90</v>
      </c>
    </row>
    <row r="10" spans="1:14" x14ac:dyDescent="0.25">
      <c r="A10" s="10" t="s">
        <v>122</v>
      </c>
      <c r="C10" s="10">
        <f>B2*100/E2</f>
        <v>35</v>
      </c>
      <c r="J10" s="11"/>
    </row>
    <row r="11" spans="1:14" x14ac:dyDescent="0.25">
      <c r="J11" s="11"/>
    </row>
    <row r="12" spans="1:14" x14ac:dyDescent="0.25">
      <c r="J12" s="11"/>
    </row>
    <row r="13" spans="1:14" x14ac:dyDescent="0.25">
      <c r="A13" s="10" t="s">
        <v>123</v>
      </c>
      <c r="B13" s="33">
        <f>D2*100/K2</f>
        <v>9.7619047619047628</v>
      </c>
      <c r="J13" s="11"/>
    </row>
    <row r="14" spans="1:14" x14ac:dyDescent="0.25">
      <c r="B14" s="33"/>
      <c r="J14" s="11"/>
    </row>
    <row r="15" spans="1:14" x14ac:dyDescent="0.25">
      <c r="A15" s="10" t="s">
        <v>124</v>
      </c>
      <c r="B15" s="33" t="s">
        <v>0</v>
      </c>
      <c r="J15" s="11"/>
    </row>
    <row r="16" spans="1:14" x14ac:dyDescent="0.25">
      <c r="A16" s="10" t="s">
        <v>14</v>
      </c>
      <c r="B16" s="33">
        <f>B2*100/K2</f>
        <v>1.6666666666666667</v>
      </c>
      <c r="J16" s="11"/>
    </row>
    <row r="17" spans="1:12" x14ac:dyDescent="0.25">
      <c r="A17" s="10" t="s">
        <v>8</v>
      </c>
      <c r="B17" s="33">
        <f>C2*100/K2</f>
        <v>83.80952380952381</v>
      </c>
      <c r="J17" s="11"/>
    </row>
    <row r="18" spans="1:12" x14ac:dyDescent="0.25">
      <c r="A18" s="10" t="s">
        <v>7</v>
      </c>
      <c r="B18" s="33">
        <f>D2*100/K2</f>
        <v>9.7619047619047628</v>
      </c>
      <c r="J18" s="11"/>
    </row>
    <row r="19" spans="1:12" x14ac:dyDescent="0.25">
      <c r="A19" s="10" t="s">
        <v>15</v>
      </c>
      <c r="B19" s="33">
        <f>E2*100/K2</f>
        <v>4.7619047619047619</v>
      </c>
      <c r="J19" s="11"/>
    </row>
    <row r="20" spans="1:12" x14ac:dyDescent="0.25">
      <c r="J20" s="11"/>
    </row>
    <row r="21" spans="1:12" x14ac:dyDescent="0.25">
      <c r="J21" s="11"/>
    </row>
    <row r="22" spans="1:12" x14ac:dyDescent="0.25">
      <c r="J22" s="11"/>
    </row>
    <row r="23" spans="1:12" x14ac:dyDescent="0.25">
      <c r="J23" s="11"/>
    </row>
    <row r="24" spans="1:12" x14ac:dyDescent="0.25">
      <c r="J24" s="11"/>
    </row>
    <row r="26" spans="1:12" ht="23.25" x14ac:dyDescent="0.35">
      <c r="A26" s="14" t="s">
        <v>94</v>
      </c>
      <c r="B26" s="17"/>
      <c r="C26" s="17"/>
      <c r="D26" s="17"/>
      <c r="E26" s="17"/>
      <c r="F26" s="17"/>
      <c r="G26" s="17"/>
    </row>
    <row r="27" spans="1:12" ht="28.5" x14ac:dyDescent="0.45">
      <c r="A27" s="37" t="s">
        <v>138</v>
      </c>
      <c r="B27" s="38"/>
      <c r="C27" s="38"/>
      <c r="D27" s="38"/>
      <c r="E27" s="37" t="s">
        <v>139</v>
      </c>
      <c r="F27" s="38"/>
      <c r="G27" s="38"/>
    </row>
    <row r="28" spans="1:12" x14ac:dyDescent="0.25">
      <c r="A28" s="3" t="s">
        <v>91</v>
      </c>
      <c r="B28" s="4"/>
      <c r="C28" s="5"/>
      <c r="E28" s="3" t="s">
        <v>91</v>
      </c>
      <c r="F28" s="4"/>
      <c r="G28" s="5"/>
      <c r="H28" s="40"/>
      <c r="I28" s="40"/>
      <c r="J28" s="40"/>
      <c r="K28" s="40"/>
      <c r="L28" s="40"/>
    </row>
    <row r="29" spans="1:12" x14ac:dyDescent="0.25">
      <c r="A29" s="6" t="s">
        <v>25</v>
      </c>
      <c r="B29" s="7" t="s">
        <v>0</v>
      </c>
      <c r="C29" s="20">
        <v>6.7000000000000004E-2</v>
      </c>
      <c r="E29" s="6" t="s">
        <v>25</v>
      </c>
      <c r="F29" s="7" t="s">
        <v>0</v>
      </c>
      <c r="G29" s="20">
        <v>6.7000000000000004E-2</v>
      </c>
      <c r="H29" s="40"/>
      <c r="I29" s="39" t="s">
        <v>140</v>
      </c>
      <c r="J29" s="40"/>
      <c r="K29" s="40"/>
      <c r="L29" s="40"/>
    </row>
    <row r="30" spans="1:12" x14ac:dyDescent="0.25">
      <c r="A30" s="8" t="s">
        <v>26</v>
      </c>
      <c r="B30" s="8"/>
      <c r="C30" s="21">
        <v>0.26</v>
      </c>
      <c r="E30" s="8" t="s">
        <v>26</v>
      </c>
      <c r="F30" s="8"/>
      <c r="G30" s="21">
        <v>0.75</v>
      </c>
      <c r="H30" s="40"/>
      <c r="I30" s="41" t="s">
        <v>141</v>
      </c>
      <c r="J30" s="42"/>
      <c r="K30" s="42"/>
      <c r="L30" s="42"/>
    </row>
    <row r="31" spans="1:12" x14ac:dyDescent="0.25">
      <c r="A31" s="8" t="s">
        <v>27</v>
      </c>
      <c r="B31" s="8"/>
      <c r="C31" s="21">
        <v>0.9</v>
      </c>
      <c r="E31" s="8" t="s">
        <v>27</v>
      </c>
      <c r="F31" s="8"/>
      <c r="G31" s="21">
        <v>0.95</v>
      </c>
      <c r="H31" s="40"/>
      <c r="I31" s="39" t="s">
        <v>142</v>
      </c>
      <c r="J31" s="40"/>
      <c r="K31" s="40"/>
      <c r="L31" s="40"/>
    </row>
    <row r="32" spans="1:12" x14ac:dyDescent="0.25">
      <c r="A32" s="6" t="s">
        <v>28</v>
      </c>
      <c r="B32" s="7"/>
      <c r="C32" s="19">
        <f>(((C29*C30))/(((C29*C30))+((1-C29)*(1-C31))))</f>
        <v>0.15733381502890176</v>
      </c>
      <c r="E32" s="6" t="s">
        <v>28</v>
      </c>
      <c r="F32" s="7"/>
      <c r="G32" s="19">
        <f>(((G29*G30))/(((G29*G30))+((1-G29)*(1-G31))))</f>
        <v>0.51857585139318862</v>
      </c>
      <c r="H32" s="40"/>
      <c r="I32" s="40"/>
      <c r="J32" s="40"/>
      <c r="K32" s="40"/>
      <c r="L32" s="40"/>
    </row>
    <row r="33" spans="1:7" x14ac:dyDescent="0.25">
      <c r="A33" s="8"/>
      <c r="B33" s="8"/>
      <c r="C33" s="9"/>
      <c r="E33" s="8"/>
      <c r="F33" s="8"/>
      <c r="G33" s="9"/>
    </row>
    <row r="34" spans="1:7" x14ac:dyDescent="0.25">
      <c r="A34" s="3" t="s">
        <v>92</v>
      </c>
      <c r="B34" s="8"/>
      <c r="C34" s="9"/>
      <c r="E34" s="3" t="s">
        <v>92</v>
      </c>
      <c r="F34" s="8"/>
      <c r="G34" s="9"/>
    </row>
    <row r="35" spans="1:7" x14ac:dyDescent="0.25">
      <c r="A35" s="6" t="s">
        <v>25</v>
      </c>
      <c r="B35" s="7"/>
      <c r="C35" s="20">
        <v>6.7000000000000004E-2</v>
      </c>
      <c r="E35" s="6" t="s">
        <v>25</v>
      </c>
      <c r="F35" s="7"/>
      <c r="G35" s="20">
        <v>6.7000000000000004E-2</v>
      </c>
    </row>
    <row r="36" spans="1:7" x14ac:dyDescent="0.25">
      <c r="A36" s="8" t="s">
        <v>26</v>
      </c>
      <c r="B36" s="8"/>
      <c r="C36" s="21">
        <v>0.26</v>
      </c>
      <c r="E36" s="8" t="s">
        <v>26</v>
      </c>
      <c r="F36" s="8"/>
      <c r="G36" s="21">
        <v>0.75</v>
      </c>
    </row>
    <row r="37" spans="1:7" x14ac:dyDescent="0.25">
      <c r="A37" s="8" t="s">
        <v>27</v>
      </c>
      <c r="B37" s="8"/>
      <c r="C37" s="21">
        <v>0.9</v>
      </c>
      <c r="D37" s="5"/>
      <c r="E37" s="8" t="s">
        <v>27</v>
      </c>
      <c r="F37" s="8"/>
      <c r="G37" s="21">
        <v>0.95</v>
      </c>
    </row>
    <row r="38" spans="1:7" x14ac:dyDescent="0.25">
      <c r="A38" s="6" t="s">
        <v>28</v>
      </c>
      <c r="B38" s="7"/>
      <c r="C38" s="19">
        <f>((C35)*(1-C36))/(((C35))*((1-C36))+((C37))*((1-C35)))</f>
        <v>5.5752968693774732E-2</v>
      </c>
      <c r="E38" s="6" t="s">
        <v>28</v>
      </c>
      <c r="F38" s="7"/>
      <c r="G38" s="19">
        <f>((G35)*(1-G36))/(((G35))*((1-G36))+((G37))*((1-G35)))</f>
        <v>1.8547226220795038E-2</v>
      </c>
    </row>
    <row r="39" spans="1:7" x14ac:dyDescent="0.25">
      <c r="B39" s="8"/>
      <c r="C39" s="8"/>
      <c r="D39" s="9"/>
    </row>
    <row r="42" spans="1:7" ht="23.25" x14ac:dyDescent="0.35">
      <c r="A42" s="14" t="s">
        <v>100</v>
      </c>
      <c r="B42" s="17"/>
      <c r="C42" s="17"/>
      <c r="D42" s="17"/>
      <c r="E42" s="18"/>
      <c r="F42" s="18"/>
      <c r="G42" s="18"/>
    </row>
    <row r="43" spans="1:7" x14ac:dyDescent="0.25">
      <c r="A43" s="10" t="s">
        <v>101</v>
      </c>
      <c r="E43" s="10" t="s">
        <v>120</v>
      </c>
    </row>
    <row r="45" spans="1:7" x14ac:dyDescent="0.25">
      <c r="A45" s="10" t="s">
        <v>102</v>
      </c>
    </row>
    <row r="46" spans="1:7" x14ac:dyDescent="0.25">
      <c r="A46" s="10" t="s">
        <v>103</v>
      </c>
    </row>
    <row r="47" spans="1:7" x14ac:dyDescent="0.25">
      <c r="A47" s="10" t="s">
        <v>213</v>
      </c>
    </row>
    <row r="48" spans="1:7" x14ac:dyDescent="0.25">
      <c r="A48" s="22"/>
      <c r="B48" s="23">
        <v>1</v>
      </c>
      <c r="C48" s="23">
        <v>2</v>
      </c>
      <c r="D48" s="23">
        <v>3</v>
      </c>
      <c r="E48" s="23">
        <v>4</v>
      </c>
    </row>
    <row r="49" spans="1:5" ht="84" x14ac:dyDescent="0.25">
      <c r="A49" s="24" t="s">
        <v>104</v>
      </c>
      <c r="B49" s="25" t="s">
        <v>112</v>
      </c>
      <c r="C49" s="25" t="s">
        <v>112</v>
      </c>
      <c r="D49" s="25" t="s">
        <v>112</v>
      </c>
      <c r="E49" s="25" t="s">
        <v>112</v>
      </c>
    </row>
    <row r="50" spans="1:5" ht="60" x14ac:dyDescent="0.25">
      <c r="A50" s="24" t="s">
        <v>105</v>
      </c>
      <c r="B50" s="25" t="s">
        <v>113</v>
      </c>
      <c r="C50" s="25" t="s">
        <v>113</v>
      </c>
      <c r="D50" s="25" t="s">
        <v>113</v>
      </c>
      <c r="E50" s="25" t="s">
        <v>113</v>
      </c>
    </row>
    <row r="51" spans="1:5" x14ac:dyDescent="0.25">
      <c r="A51" s="24" t="s">
        <v>106</v>
      </c>
      <c r="B51" s="26">
        <v>45</v>
      </c>
      <c r="C51" s="26">
        <v>50</v>
      </c>
      <c r="D51" s="26">
        <v>55</v>
      </c>
      <c r="E51" s="26">
        <v>60</v>
      </c>
    </row>
    <row r="52" spans="1:5" ht="24" x14ac:dyDescent="0.25">
      <c r="A52" s="24" t="s">
        <v>107</v>
      </c>
      <c r="B52" s="25">
        <v>15</v>
      </c>
      <c r="C52" s="25">
        <v>15</v>
      </c>
      <c r="D52" s="25">
        <v>15</v>
      </c>
      <c r="E52" s="25">
        <v>15</v>
      </c>
    </row>
    <row r="53" spans="1:5" ht="24" x14ac:dyDescent="0.25">
      <c r="A53" s="24" t="s">
        <v>108</v>
      </c>
      <c r="B53" s="25">
        <v>22</v>
      </c>
      <c r="C53" s="25">
        <v>22</v>
      </c>
      <c r="D53" s="25">
        <v>22</v>
      </c>
      <c r="E53" s="25">
        <v>22</v>
      </c>
    </row>
    <row r="54" spans="1:5" ht="36" x14ac:dyDescent="0.25">
      <c r="A54" s="24" t="s">
        <v>109</v>
      </c>
      <c r="B54" s="25">
        <v>1</v>
      </c>
      <c r="C54" s="25" t="s">
        <v>118</v>
      </c>
      <c r="D54" s="25" t="s">
        <v>118</v>
      </c>
      <c r="E54" s="25" t="s">
        <v>118</v>
      </c>
    </row>
    <row r="55" spans="1:5" ht="24" x14ac:dyDescent="0.25">
      <c r="A55" s="24" t="s">
        <v>110</v>
      </c>
      <c r="B55" s="25" t="s">
        <v>112</v>
      </c>
      <c r="C55" s="25" t="s">
        <v>112</v>
      </c>
      <c r="D55" s="25" t="s">
        <v>112</v>
      </c>
      <c r="E55" s="26" t="s">
        <v>116</v>
      </c>
    </row>
    <row r="56" spans="1:5" x14ac:dyDescent="0.25">
      <c r="A56" s="24" t="s">
        <v>111</v>
      </c>
      <c r="B56" s="25" t="s">
        <v>114</v>
      </c>
      <c r="C56" s="25" t="s">
        <v>114</v>
      </c>
      <c r="D56" s="25" t="s">
        <v>114</v>
      </c>
      <c r="E56" s="25" t="s">
        <v>114</v>
      </c>
    </row>
    <row r="57" spans="1:5" x14ac:dyDescent="0.25">
      <c r="A57" s="22" t="s">
        <v>117</v>
      </c>
      <c r="B57" s="27">
        <v>1.2</v>
      </c>
      <c r="C57" s="27">
        <v>6</v>
      </c>
      <c r="D57" s="27">
        <v>7.4</v>
      </c>
      <c r="E57" s="27">
        <v>11.3</v>
      </c>
    </row>
    <row r="58" spans="1:5" x14ac:dyDescent="0.25">
      <c r="A58" s="22" t="s">
        <v>115</v>
      </c>
      <c r="B58" s="25">
        <v>1.4</v>
      </c>
      <c r="C58" s="25">
        <v>7.2</v>
      </c>
      <c r="D58" s="25">
        <v>8.8000000000000007</v>
      </c>
      <c r="E58" s="25">
        <v>13.4</v>
      </c>
    </row>
    <row r="59" spans="1:5" x14ac:dyDescent="0.25">
      <c r="A59" s="22" t="s">
        <v>119</v>
      </c>
      <c r="B59" s="27">
        <v>3.6</v>
      </c>
      <c r="C59" s="27">
        <v>16.8</v>
      </c>
      <c r="D59" s="27">
        <v>20.100000000000001</v>
      </c>
      <c r="E59" s="27">
        <v>28.7</v>
      </c>
    </row>
  </sheetData>
  <phoneticPr fontId="3" type="noConversion"/>
  <hyperlinks>
    <hyperlink ref="A52" r:id="rId1" display="http://www.cancer.gov/bcrisktool/def-menst.html" xr:uid="{00000000-0004-0000-0600-000000000000}"/>
    <hyperlink ref="A55" r:id="rId2" display="http://www.cancer.gov/bcrisktool/def-biopsy.html" xr:uid="{00000000-0004-0000-0600-000001000000}"/>
  </hyperlinks>
  <pageMargins left="0.7" right="0.7" top="0.78740157499999996" bottom="0.78740157499999996" header="0.3" footer="0.3"/>
  <pageSetup paperSize="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0"/>
  <sheetViews>
    <sheetView zoomScale="90" zoomScaleNormal="90" workbookViewId="0">
      <selection activeCell="B14" sqref="B14"/>
    </sheetView>
  </sheetViews>
  <sheetFormatPr baseColWidth="10" defaultColWidth="11.42578125" defaultRowHeight="15" x14ac:dyDescent="0.25"/>
  <cols>
    <col min="1" max="1" width="38.140625" style="10" customWidth="1"/>
    <col min="2" max="16384" width="11.42578125" style="10"/>
  </cols>
  <sheetData>
    <row r="1" spans="1:14" ht="23.25" x14ac:dyDescent="0.35">
      <c r="A1" s="32" t="s">
        <v>71</v>
      </c>
      <c r="B1" s="1" t="s">
        <v>14</v>
      </c>
      <c r="C1" s="1" t="s">
        <v>8</v>
      </c>
      <c r="D1" s="1" t="s">
        <v>7</v>
      </c>
      <c r="E1" s="1" t="s">
        <v>15</v>
      </c>
      <c r="F1" s="1" t="s">
        <v>16</v>
      </c>
      <c r="G1" s="1" t="s">
        <v>17</v>
      </c>
      <c r="H1" s="1" t="s">
        <v>18</v>
      </c>
      <c r="I1" s="1" t="s">
        <v>19</v>
      </c>
      <c r="J1" s="1" t="s">
        <v>20</v>
      </c>
      <c r="K1" s="1" t="s">
        <v>21</v>
      </c>
      <c r="L1" s="2" t="s">
        <v>22</v>
      </c>
      <c r="M1" s="2" t="s">
        <v>23</v>
      </c>
      <c r="N1" s="2" t="s">
        <v>24</v>
      </c>
    </row>
    <row r="2" spans="1:14" ht="23.25" x14ac:dyDescent="0.35">
      <c r="A2" s="32" t="s">
        <v>72</v>
      </c>
      <c r="B2" s="1">
        <v>75</v>
      </c>
      <c r="C2" s="1">
        <v>14155</v>
      </c>
      <c r="D2" s="1">
        <v>745</v>
      </c>
      <c r="E2" s="1">
        <v>25</v>
      </c>
      <c r="F2" s="28">
        <f>((B2)/(B2+E2))*100</f>
        <v>75</v>
      </c>
      <c r="G2" s="28">
        <f>C2/(C2+D2)*100</f>
        <v>95</v>
      </c>
      <c r="H2" s="28">
        <f>B2/(B2+D2)*100</f>
        <v>9.1463414634146343</v>
      </c>
      <c r="I2" s="34">
        <f>C2/(C2+E2)*100</f>
        <v>99.823695345557113</v>
      </c>
      <c r="J2" s="28">
        <f>((B2+C2)/(B2+C2+D2+E2))*100</f>
        <v>94.86666666666666</v>
      </c>
      <c r="K2" s="28">
        <f>B2+C2+D2+E2</f>
        <v>15000</v>
      </c>
      <c r="L2" s="30">
        <f>F2/(100-G2)</f>
        <v>15</v>
      </c>
      <c r="M2" s="29">
        <f>(100-F2)/G2</f>
        <v>0.26315789473684209</v>
      </c>
      <c r="N2" s="29">
        <f>((B2+E2)*100)/K2</f>
        <v>0.66666666666666663</v>
      </c>
    </row>
    <row r="3" spans="1:14" x14ac:dyDescent="0.25">
      <c r="C3" s="1"/>
      <c r="D3" s="1"/>
      <c r="E3" s="1"/>
      <c r="F3" s="1"/>
      <c r="G3" s="1"/>
      <c r="H3" s="1"/>
      <c r="I3" s="1"/>
      <c r="J3" s="1"/>
      <c r="K3" s="1"/>
      <c r="L3" s="1"/>
      <c r="M3" s="1"/>
      <c r="N3" s="1"/>
    </row>
    <row r="4" spans="1:14" x14ac:dyDescent="0.25">
      <c r="A4" s="11" t="s">
        <v>93</v>
      </c>
      <c r="B4" s="11" t="s">
        <v>14</v>
      </c>
      <c r="C4" s="10" t="s">
        <v>73</v>
      </c>
      <c r="F4" s="11" t="s">
        <v>16</v>
      </c>
      <c r="G4" s="10" t="s">
        <v>77</v>
      </c>
      <c r="J4" s="11" t="s">
        <v>20</v>
      </c>
      <c r="K4" s="10" t="s">
        <v>84</v>
      </c>
    </row>
    <row r="5" spans="1:14" x14ac:dyDescent="0.25">
      <c r="A5" s="10" t="s">
        <v>0</v>
      </c>
      <c r="B5" s="11" t="s">
        <v>8</v>
      </c>
      <c r="C5" s="10" t="s">
        <v>74</v>
      </c>
      <c r="F5" s="11" t="s">
        <v>17</v>
      </c>
      <c r="G5" s="10" t="s">
        <v>78</v>
      </c>
      <c r="J5" s="11" t="s">
        <v>21</v>
      </c>
      <c r="K5" s="10" t="s">
        <v>85</v>
      </c>
    </row>
    <row r="6" spans="1:14" x14ac:dyDescent="0.25">
      <c r="A6" s="10" t="s">
        <v>0</v>
      </c>
      <c r="B6" s="11" t="s">
        <v>7</v>
      </c>
      <c r="C6" s="10" t="s">
        <v>75</v>
      </c>
      <c r="F6" s="11" t="s">
        <v>79</v>
      </c>
      <c r="G6" s="10" t="s">
        <v>80</v>
      </c>
      <c r="J6" s="11" t="s">
        <v>86</v>
      </c>
      <c r="K6" s="10" t="s">
        <v>87</v>
      </c>
    </row>
    <row r="7" spans="1:14" x14ac:dyDescent="0.25">
      <c r="A7" s="10" t="s">
        <v>0</v>
      </c>
      <c r="B7" s="11" t="s">
        <v>15</v>
      </c>
      <c r="C7" s="10" t="s">
        <v>76</v>
      </c>
      <c r="F7" s="11" t="s">
        <v>18</v>
      </c>
      <c r="G7" s="10" t="s">
        <v>81</v>
      </c>
      <c r="J7" s="11" t="s">
        <v>22</v>
      </c>
      <c r="K7" s="10" t="s">
        <v>88</v>
      </c>
    </row>
    <row r="8" spans="1:14" x14ac:dyDescent="0.25">
      <c r="F8" s="11" t="s">
        <v>82</v>
      </c>
      <c r="G8" s="10" t="s">
        <v>83</v>
      </c>
      <c r="J8" s="11" t="s">
        <v>23</v>
      </c>
      <c r="K8" s="10" t="s">
        <v>89</v>
      </c>
    </row>
    <row r="9" spans="1:14" x14ac:dyDescent="0.25">
      <c r="J9" s="11" t="s">
        <v>24</v>
      </c>
      <c r="K9" s="10" t="s">
        <v>90</v>
      </c>
    </row>
    <row r="14" spans="1:14" x14ac:dyDescent="0.25">
      <c r="A14" s="10" t="s">
        <v>123</v>
      </c>
      <c r="B14" s="33">
        <f>B2*100/D2</f>
        <v>10.067114093959731</v>
      </c>
    </row>
    <row r="15" spans="1:14" x14ac:dyDescent="0.25">
      <c r="B15" s="33"/>
      <c r="N15" s="33">
        <f>D2*100/K2</f>
        <v>4.9666666666666668</v>
      </c>
    </row>
    <row r="16" spans="1:14" x14ac:dyDescent="0.25">
      <c r="A16" s="10" t="s">
        <v>124</v>
      </c>
      <c r="B16" s="33" t="s">
        <v>0</v>
      </c>
    </row>
    <row r="17" spans="1:2" x14ac:dyDescent="0.25">
      <c r="A17" s="10" t="s">
        <v>14</v>
      </c>
      <c r="B17" s="33">
        <f>B2*100/K2</f>
        <v>0.5</v>
      </c>
    </row>
    <row r="18" spans="1:2" x14ac:dyDescent="0.25">
      <c r="A18" s="10" t="s">
        <v>8</v>
      </c>
      <c r="B18" s="33">
        <f>C2*100/K2</f>
        <v>94.36666666666666</v>
      </c>
    </row>
    <row r="19" spans="1:2" x14ac:dyDescent="0.25">
      <c r="A19" s="10" t="s">
        <v>7</v>
      </c>
      <c r="B19" s="33">
        <f>D2*100/K2</f>
        <v>4.9666666666666668</v>
      </c>
    </row>
    <row r="20" spans="1:2" x14ac:dyDescent="0.25">
      <c r="A20" s="10" t="s">
        <v>15</v>
      </c>
      <c r="B20" s="33">
        <f>E2*100/K2</f>
        <v>0.16666666666666666</v>
      </c>
    </row>
  </sheetData>
  <phoneticPr fontId="3" type="noConversion"/>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4F095-6457-488B-861F-B6A34619A478}">
  <dimension ref="D2:I52"/>
  <sheetViews>
    <sheetView tabSelected="1" workbookViewId="0">
      <selection activeCell="E8" sqref="E8"/>
    </sheetView>
  </sheetViews>
  <sheetFormatPr baseColWidth="10" defaultRowHeight="18.75" x14ac:dyDescent="0.25"/>
  <cols>
    <col min="1" max="3" width="11.42578125" style="53"/>
    <col min="4" max="4" width="55.28515625" style="53" customWidth="1"/>
    <col min="5" max="8" width="21.7109375" style="54" customWidth="1"/>
    <col min="9" max="9" width="5.5703125" style="54" bestFit="1" customWidth="1"/>
    <col min="10" max="16384" width="11.42578125" style="53"/>
  </cols>
  <sheetData>
    <row r="2" spans="4:9" x14ac:dyDescent="0.25">
      <c r="E2" s="59" t="s">
        <v>197</v>
      </c>
      <c r="F2" s="59"/>
      <c r="G2" s="60"/>
      <c r="H2" s="61"/>
    </row>
    <row r="4" spans="4:9" x14ac:dyDescent="0.25">
      <c r="E4" s="62" t="s">
        <v>192</v>
      </c>
      <c r="F4" s="63"/>
      <c r="G4" s="63"/>
      <c r="H4" s="64"/>
    </row>
    <row r="5" spans="4:9" x14ac:dyDescent="0.25">
      <c r="E5" s="54" t="s">
        <v>184</v>
      </c>
      <c r="F5" s="54" t="s">
        <v>185</v>
      </c>
      <c r="G5" s="54" t="s">
        <v>183</v>
      </c>
      <c r="H5" s="54" t="s">
        <v>185</v>
      </c>
    </row>
    <row r="6" spans="4:9" x14ac:dyDescent="0.25">
      <c r="D6" s="53" t="s">
        <v>186</v>
      </c>
      <c r="E6" s="57">
        <v>10.25</v>
      </c>
      <c r="F6" s="52">
        <f>QALYCOPY!B27</f>
        <v>247391.19368794665</v>
      </c>
      <c r="G6" s="55">
        <v>10.25</v>
      </c>
      <c r="H6" s="52">
        <f>QALY!B27</f>
        <v>247391.19368794665</v>
      </c>
      <c r="I6" s="53"/>
    </row>
    <row r="7" spans="4:9" x14ac:dyDescent="0.25">
      <c r="D7" s="53" t="s">
        <v>198</v>
      </c>
      <c r="E7" s="57">
        <v>6</v>
      </c>
      <c r="F7" s="52"/>
      <c r="G7" s="55"/>
      <c r="H7" s="52"/>
      <c r="I7" s="53"/>
    </row>
    <row r="8" spans="4:9" x14ac:dyDescent="0.25">
      <c r="D8" s="53" t="s">
        <v>187</v>
      </c>
      <c r="E8" s="57">
        <v>0</v>
      </c>
      <c r="F8" s="52">
        <f>QALYCOPY!B44</f>
        <v>-5684210.5263041798</v>
      </c>
      <c r="G8" s="54" t="s">
        <v>0</v>
      </c>
      <c r="I8" s="53"/>
    </row>
    <row r="9" spans="4:9" x14ac:dyDescent="0.25">
      <c r="E9" s="53"/>
      <c r="F9" s="53"/>
      <c r="G9" s="53"/>
      <c r="H9" s="53"/>
      <c r="I9" s="53"/>
    </row>
    <row r="10" spans="4:9" x14ac:dyDescent="0.25">
      <c r="D10" s="53" t="s">
        <v>0</v>
      </c>
      <c r="E10" s="62" t="s">
        <v>193</v>
      </c>
      <c r="F10" s="63"/>
      <c r="G10" s="63"/>
      <c r="H10" s="64"/>
    </row>
    <row r="11" spans="4:9" x14ac:dyDescent="0.25">
      <c r="E11" s="54" t="s">
        <v>184</v>
      </c>
      <c r="F11" s="53"/>
      <c r="G11" s="53" t="s">
        <v>183</v>
      </c>
      <c r="H11" s="53"/>
    </row>
    <row r="12" spans="4:9" x14ac:dyDescent="0.25">
      <c r="D12" s="53" t="s">
        <v>188</v>
      </c>
      <c r="E12" s="54">
        <f>G12</f>
        <v>810</v>
      </c>
      <c r="G12" s="54">
        <v>810</v>
      </c>
    </row>
    <row r="13" spans="4:9" x14ac:dyDescent="0.25">
      <c r="D13" s="53" t="s">
        <v>191</v>
      </c>
      <c r="E13" s="58">
        <v>1000000</v>
      </c>
      <c r="G13" s="52">
        <v>10000</v>
      </c>
    </row>
    <row r="14" spans="4:9" x14ac:dyDescent="0.25">
      <c r="D14" s="53" t="s">
        <v>196</v>
      </c>
      <c r="E14" s="56">
        <f>G14/G13*E13</f>
        <v>1600</v>
      </c>
      <c r="F14" s="53"/>
      <c r="G14" s="55">
        <v>16</v>
      </c>
      <c r="H14" s="53"/>
    </row>
    <row r="15" spans="4:9" x14ac:dyDescent="0.25">
      <c r="D15" s="53" t="s">
        <v>189</v>
      </c>
      <c r="E15" s="58">
        <v>200000</v>
      </c>
      <c r="G15" s="54">
        <v>0</v>
      </c>
    </row>
    <row r="16" spans="4:9" x14ac:dyDescent="0.25">
      <c r="D16" s="53" t="s">
        <v>190</v>
      </c>
      <c r="E16" s="57">
        <v>18</v>
      </c>
      <c r="G16" s="54">
        <f>E16</f>
        <v>18</v>
      </c>
    </row>
    <row r="17" spans="4:7" x14ac:dyDescent="0.25">
      <c r="D17" s="53" t="s">
        <v>194</v>
      </c>
      <c r="E17" s="52">
        <f>QALYCOPY!Z15</f>
        <v>5760000000</v>
      </c>
      <c r="G17" s="52" t="s">
        <v>0</v>
      </c>
    </row>
    <row r="18" spans="4:7" x14ac:dyDescent="0.25">
      <c r="D18" s="53" t="s">
        <v>195</v>
      </c>
      <c r="E18" s="52">
        <f>QALYCOPY!Y21</f>
        <v>810000000</v>
      </c>
      <c r="F18" s="52"/>
      <c r="G18" s="52" t="s">
        <v>0</v>
      </c>
    </row>
    <row r="19" spans="4:7" x14ac:dyDescent="0.25">
      <c r="D19" s="53" t="s">
        <v>234</v>
      </c>
      <c r="E19" s="52">
        <f>E17-E18</f>
        <v>4950000000</v>
      </c>
      <c r="G19" s="52" t="s">
        <v>0</v>
      </c>
    </row>
    <row r="20" spans="4:7" x14ac:dyDescent="0.25">
      <c r="D20" s="53" t="s">
        <v>245</v>
      </c>
      <c r="E20" s="52">
        <v>6</v>
      </c>
    </row>
    <row r="21" spans="4:7" x14ac:dyDescent="0.25">
      <c r="D21" s="53" t="s">
        <v>232</v>
      </c>
      <c r="E21" s="52">
        <f>DISCOUNT!C22*E14</f>
        <v>3582277101.9679384</v>
      </c>
    </row>
    <row r="22" spans="4:7" x14ac:dyDescent="0.25">
      <c r="D22" s="53" t="s">
        <v>235</v>
      </c>
      <c r="E22" s="52">
        <f>E21-E18</f>
        <v>2772277101.9679384</v>
      </c>
    </row>
    <row r="24" spans="4:7" x14ac:dyDescent="0.25">
      <c r="D24" s="53" t="s">
        <v>0</v>
      </c>
    </row>
    <row r="51" spans="9:9" x14ac:dyDescent="0.25">
      <c r="I51" s="54">
        <f>E6/100*10000</f>
        <v>1025</v>
      </c>
    </row>
    <row r="52" spans="9:9" x14ac:dyDescent="0.25">
      <c r="I52" s="54">
        <f>E8/100*10000</f>
        <v>0</v>
      </c>
    </row>
  </sheetData>
  <mergeCells count="2">
    <mergeCell ref="E4:H4"/>
    <mergeCell ref="E10:H10"/>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5C2A1-5F4B-48A0-9910-DC3A5D761EF4}">
  <dimension ref="A1:Z96"/>
  <sheetViews>
    <sheetView workbookViewId="0">
      <selection activeCell="B12" sqref="B12"/>
    </sheetView>
  </sheetViews>
  <sheetFormatPr baseColWidth="10" defaultColWidth="13.5703125" defaultRowHeight="15" x14ac:dyDescent="0.25"/>
  <cols>
    <col min="1" max="1" width="46.85546875" style="44" customWidth="1"/>
    <col min="2" max="2" width="15.28515625" style="44" customWidth="1"/>
    <col min="3" max="16384" width="13.5703125" style="44"/>
  </cols>
  <sheetData>
    <row r="1" spans="1:26" x14ac:dyDescent="0.25">
      <c r="A1" s="43" t="s">
        <v>12</v>
      </c>
      <c r="B1" s="43" t="s">
        <v>13</v>
      </c>
      <c r="T1" s="44" t="s">
        <v>169</v>
      </c>
    </row>
    <row r="2" spans="1:26" x14ac:dyDescent="0.25">
      <c r="A2" s="45" t="s">
        <v>2</v>
      </c>
      <c r="B2" s="44">
        <v>9860</v>
      </c>
      <c r="F2" s="44">
        <v>83</v>
      </c>
      <c r="G2" s="44">
        <v>83</v>
      </c>
      <c r="H2" s="44">
        <v>83</v>
      </c>
      <c r="I2" s="44">
        <v>83</v>
      </c>
      <c r="N2" s="44">
        <v>57</v>
      </c>
      <c r="O2" s="44">
        <v>57</v>
      </c>
      <c r="R2" s="44">
        <f>O2/100/2</f>
        <v>0.28499999999999998</v>
      </c>
      <c r="T2" s="46" t="s">
        <v>143</v>
      </c>
    </row>
    <row r="3" spans="1:26" x14ac:dyDescent="0.25">
      <c r="A3" s="44" t="s">
        <v>172</v>
      </c>
      <c r="B3" s="44">
        <v>13</v>
      </c>
      <c r="F3" s="44">
        <v>6.5</v>
      </c>
      <c r="G3" s="44">
        <f>2/12</f>
        <v>0.16666666666666666</v>
      </c>
      <c r="H3" s="44">
        <f>10/12</f>
        <v>0.83333333333333337</v>
      </c>
      <c r="I3" s="44">
        <v>5.5</v>
      </c>
      <c r="N3" s="44">
        <v>6.5</v>
      </c>
      <c r="O3" s="44">
        <v>3</v>
      </c>
    </row>
    <row r="4" spans="1:26" x14ac:dyDescent="0.25">
      <c r="A4" s="44" t="s">
        <v>159</v>
      </c>
      <c r="B4" s="44">
        <v>1</v>
      </c>
      <c r="F4" s="44">
        <v>1</v>
      </c>
      <c r="G4" s="44">
        <v>0.5</v>
      </c>
      <c r="H4" s="44">
        <v>0.8</v>
      </c>
      <c r="I4" s="44">
        <v>0.9</v>
      </c>
      <c r="N4" s="44">
        <v>1</v>
      </c>
      <c r="O4" s="44">
        <v>0.5</v>
      </c>
      <c r="T4" s="44" t="s">
        <v>147</v>
      </c>
    </row>
    <row r="5" spans="1:26" x14ac:dyDescent="0.25">
      <c r="A5" s="44" t="s">
        <v>173</v>
      </c>
      <c r="B5" s="44">
        <f>B2*B3*B4</f>
        <v>128180</v>
      </c>
      <c r="F5" s="44">
        <f t="shared" ref="F5:I5" si="0">F2*F3*F4</f>
        <v>539.5</v>
      </c>
      <c r="G5" s="44">
        <f t="shared" si="0"/>
        <v>6.9166666666666661</v>
      </c>
      <c r="H5" s="44">
        <f t="shared" si="0"/>
        <v>55.333333333333343</v>
      </c>
      <c r="I5" s="44">
        <f t="shared" si="0"/>
        <v>410.85</v>
      </c>
      <c r="L5" s="44" t="s">
        <v>0</v>
      </c>
      <c r="N5" s="44">
        <f>N2*N3*N4</f>
        <v>370.5</v>
      </c>
      <c r="O5" s="44">
        <f>O2*O3*O4</f>
        <v>85.5</v>
      </c>
      <c r="P5" s="48">
        <f>SUM(B5:O5)</f>
        <v>129648.6</v>
      </c>
      <c r="R5" s="44">
        <f>O2*$Z$14</f>
        <v>205200000</v>
      </c>
      <c r="T5" s="44" t="s">
        <v>146</v>
      </c>
    </row>
    <row r="6" spans="1:26" x14ac:dyDescent="0.25">
      <c r="T6" s="44" t="s">
        <v>144</v>
      </c>
    </row>
    <row r="7" spans="1:26" x14ac:dyDescent="0.25">
      <c r="A7" s="44" t="s">
        <v>174</v>
      </c>
      <c r="B7" s="44">
        <v>8800</v>
      </c>
      <c r="C7" s="44">
        <v>1025</v>
      </c>
      <c r="D7" s="44">
        <v>1025</v>
      </c>
      <c r="E7" s="44">
        <v>1025</v>
      </c>
      <c r="F7" s="44">
        <v>83</v>
      </c>
      <c r="G7" s="44">
        <v>83</v>
      </c>
      <c r="H7" s="44">
        <v>83</v>
      </c>
      <c r="I7" s="44">
        <v>83</v>
      </c>
      <c r="J7" s="44">
        <v>51</v>
      </c>
      <c r="K7" s="44">
        <v>51</v>
      </c>
      <c r="L7" s="44">
        <v>51</v>
      </c>
      <c r="M7" s="44">
        <v>51</v>
      </c>
      <c r="N7" s="44">
        <v>41</v>
      </c>
      <c r="O7" s="44">
        <v>41</v>
      </c>
      <c r="T7" s="44" t="s">
        <v>145</v>
      </c>
    </row>
    <row r="8" spans="1:26" x14ac:dyDescent="0.25">
      <c r="A8" s="44" t="s">
        <v>172</v>
      </c>
      <c r="B8" s="44">
        <v>13</v>
      </c>
      <c r="C8" s="44">
        <v>3</v>
      </c>
      <c r="D8" s="44">
        <v>0.5</v>
      </c>
      <c r="E8" s="44">
        <v>9.5</v>
      </c>
      <c r="F8" s="44">
        <v>6.5</v>
      </c>
      <c r="G8" s="44">
        <f>2/12</f>
        <v>0.16666666666666666</v>
      </c>
      <c r="H8" s="44">
        <f>10/12</f>
        <v>0.83333333333333337</v>
      </c>
      <c r="I8" s="44">
        <v>5.5</v>
      </c>
      <c r="J8" s="44">
        <v>3</v>
      </c>
      <c r="K8" s="44">
        <f>1/12</f>
        <v>8.3333333333333329E-2</v>
      </c>
      <c r="L8" s="44">
        <f>5/12</f>
        <v>0.41666666666666669</v>
      </c>
      <c r="M8" s="44">
        <v>9.5</v>
      </c>
      <c r="N8" s="44">
        <v>6.5</v>
      </c>
      <c r="O8" s="44">
        <v>3</v>
      </c>
      <c r="T8" s="44" t="s">
        <v>148</v>
      </c>
    </row>
    <row r="9" spans="1:26" x14ac:dyDescent="0.25">
      <c r="A9" s="44" t="s">
        <v>159</v>
      </c>
      <c r="B9" s="44">
        <v>1</v>
      </c>
      <c r="C9" s="44">
        <v>1</v>
      </c>
      <c r="D9" s="44">
        <v>0.9</v>
      </c>
      <c r="E9" s="44">
        <v>1</v>
      </c>
      <c r="F9" s="44">
        <v>1</v>
      </c>
      <c r="G9" s="44">
        <v>0.5</v>
      </c>
      <c r="H9" s="44">
        <v>0.8</v>
      </c>
      <c r="I9" s="44">
        <v>0.9</v>
      </c>
      <c r="J9" s="44">
        <v>1</v>
      </c>
      <c r="K9" s="44">
        <v>0.6</v>
      </c>
      <c r="L9" s="44">
        <v>0.8</v>
      </c>
      <c r="M9" s="44">
        <v>0.95</v>
      </c>
      <c r="N9" s="44">
        <v>1</v>
      </c>
      <c r="O9" s="44">
        <v>0.5</v>
      </c>
    </row>
    <row r="10" spans="1:26" x14ac:dyDescent="0.25">
      <c r="A10" s="44" t="s">
        <v>173</v>
      </c>
      <c r="B10" s="44">
        <f>B7*B8*B9</f>
        <v>114400</v>
      </c>
      <c r="C10" s="44">
        <f t="shared" ref="C10:O10" si="1">C7*C8*C9</f>
        <v>3075</v>
      </c>
      <c r="D10" s="44">
        <f t="shared" si="1"/>
        <v>461.25</v>
      </c>
      <c r="E10" s="44">
        <f t="shared" si="1"/>
        <v>9737.5</v>
      </c>
      <c r="F10" s="44">
        <f>F7*F8*F9</f>
        <v>539.5</v>
      </c>
      <c r="G10" s="44">
        <f>G7*G8*G9</f>
        <v>6.9166666666666661</v>
      </c>
      <c r="H10" s="44">
        <f>H7*H8*H9</f>
        <v>55.333333333333343</v>
      </c>
      <c r="I10" s="44">
        <f>I7*I8*I9</f>
        <v>410.85</v>
      </c>
      <c r="J10" s="44">
        <f t="shared" si="1"/>
        <v>153</v>
      </c>
      <c r="K10" s="44">
        <f t="shared" si="1"/>
        <v>2.5499999999999998</v>
      </c>
      <c r="L10" s="44">
        <f t="shared" si="1"/>
        <v>17</v>
      </c>
      <c r="M10" s="44">
        <f t="shared" si="1"/>
        <v>460.27499999999998</v>
      </c>
      <c r="N10" s="44">
        <f t="shared" si="1"/>
        <v>266.5</v>
      </c>
      <c r="O10" s="44">
        <f t="shared" si="1"/>
        <v>61.5</v>
      </c>
      <c r="P10" s="48">
        <f>SUM(B10:O10)</f>
        <v>129647.175</v>
      </c>
      <c r="R10" s="44">
        <f>(O2-R2)*$Z$14</f>
        <v>204174000</v>
      </c>
      <c r="T10" s="46" t="s">
        <v>149</v>
      </c>
    </row>
    <row r="12" spans="1:26" x14ac:dyDescent="0.25">
      <c r="A12" s="43" t="s">
        <v>11</v>
      </c>
      <c r="B12" s="46">
        <f>810/P13</f>
        <v>-5684210.5263041798</v>
      </c>
      <c r="C12" s="43" t="s">
        <v>63</v>
      </c>
      <c r="P12" s="49">
        <f>P10-P5</f>
        <v>-1.4250000000029104</v>
      </c>
      <c r="R12" s="44">
        <f>R10-R5</f>
        <v>-1026000</v>
      </c>
      <c r="T12" s="44" t="s">
        <v>150</v>
      </c>
    </row>
    <row r="13" spans="1:26" x14ac:dyDescent="0.25">
      <c r="A13" s="43"/>
      <c r="B13" s="46">
        <f>(810+(R13))/(P12/10000)</f>
        <v>-4964210.5263056504</v>
      </c>
      <c r="C13" s="43"/>
      <c r="P13" s="50">
        <f>P12/10000</f>
        <v>-1.4250000000029105E-4</v>
      </c>
      <c r="R13" s="44">
        <f>R12/10000</f>
        <v>-102.6</v>
      </c>
    </row>
    <row r="14" spans="1:26" x14ac:dyDescent="0.25">
      <c r="T14" s="44" t="s">
        <v>176</v>
      </c>
      <c r="X14" s="44">
        <f>EXPERT!E16</f>
        <v>18</v>
      </c>
      <c r="Y14" s="44">
        <f>EXPERT!E15</f>
        <v>200000</v>
      </c>
      <c r="Z14" s="44">
        <f>X14*Y14</f>
        <v>3600000</v>
      </c>
    </row>
    <row r="15" spans="1:26" x14ac:dyDescent="0.25">
      <c r="A15" s="43" t="s">
        <v>9</v>
      </c>
      <c r="T15" s="44" t="s">
        <v>175</v>
      </c>
      <c r="X15" s="44">
        <f>16/10000*EXPERT!E13</f>
        <v>1600</v>
      </c>
      <c r="Z15" s="44">
        <f>Z14*X15</f>
        <v>5760000000</v>
      </c>
    </row>
    <row r="16" spans="1:26" x14ac:dyDescent="0.25">
      <c r="A16" s="45" t="s">
        <v>3</v>
      </c>
      <c r="B16" s="44">
        <v>9860</v>
      </c>
      <c r="F16" s="44">
        <v>83</v>
      </c>
      <c r="G16" s="44">
        <v>83</v>
      </c>
      <c r="H16" s="44">
        <v>83</v>
      </c>
      <c r="I16" s="44">
        <v>83</v>
      </c>
      <c r="N16" s="44">
        <v>57</v>
      </c>
      <c r="O16" s="44">
        <v>57</v>
      </c>
    </row>
    <row r="17" spans="1:25" x14ac:dyDescent="0.25">
      <c r="B17" s="44">
        <v>13</v>
      </c>
      <c r="F17" s="44">
        <v>6.5</v>
      </c>
      <c r="G17" s="44">
        <f>2/12</f>
        <v>0.16666666666666666</v>
      </c>
      <c r="H17" s="44">
        <f>10/12</f>
        <v>0.83333333333333337</v>
      </c>
      <c r="I17" s="44">
        <v>5.5</v>
      </c>
      <c r="N17" s="44">
        <v>6.5</v>
      </c>
      <c r="O17" s="44">
        <v>3</v>
      </c>
      <c r="T17" s="46" t="s">
        <v>177</v>
      </c>
    </row>
    <row r="18" spans="1:25" x14ac:dyDescent="0.25">
      <c r="A18" s="44">
        <f>B21-C21</f>
        <v>7775</v>
      </c>
      <c r="B18" s="44">
        <v>1</v>
      </c>
      <c r="F18" s="44">
        <v>1</v>
      </c>
      <c r="G18" s="44">
        <v>0.5</v>
      </c>
      <c r="H18" s="44">
        <v>0.8</v>
      </c>
      <c r="I18" s="44">
        <v>0.9</v>
      </c>
      <c r="N18" s="44">
        <v>1</v>
      </c>
      <c r="O18" s="44">
        <v>0.5</v>
      </c>
      <c r="T18" s="44">
        <v>810</v>
      </c>
      <c r="U18" s="44">
        <f>EXPERT!E13</f>
        <v>1000000</v>
      </c>
      <c r="V18" s="44">
        <f>T18*U18</f>
        <v>810000000</v>
      </c>
    </row>
    <row r="19" spans="1:25" x14ac:dyDescent="0.25">
      <c r="B19" s="44">
        <f t="shared" ref="B19" si="2">B16*B17*B18</f>
        <v>128180</v>
      </c>
      <c r="F19" s="44">
        <f>F16*F17*F18</f>
        <v>539.5</v>
      </c>
      <c r="G19" s="44">
        <f>G16*G17*G18</f>
        <v>6.9166666666666661</v>
      </c>
      <c r="H19" s="44">
        <f>H16*H17*H18</f>
        <v>55.333333333333343</v>
      </c>
      <c r="I19" s="44">
        <f>I16*I17*I18</f>
        <v>410.85</v>
      </c>
      <c r="N19" s="44">
        <f>N16*N17*N18</f>
        <v>370.5</v>
      </c>
      <c r="O19" s="44">
        <f>O16*O17*O18</f>
        <v>85.5</v>
      </c>
      <c r="P19" s="44">
        <f>SUM(A19:O19)</f>
        <v>129648.6</v>
      </c>
    </row>
    <row r="20" spans="1:25" x14ac:dyDescent="0.25">
      <c r="T20" s="46" t="s">
        <v>151</v>
      </c>
    </row>
    <row r="21" spans="1:25" x14ac:dyDescent="0.25">
      <c r="A21" s="44">
        <f>EXPERT!I51</f>
        <v>1025</v>
      </c>
      <c r="B21" s="44">
        <f>9825-C21</f>
        <v>8800</v>
      </c>
      <c r="C21" s="44">
        <f>EXPERT!I51</f>
        <v>1025</v>
      </c>
      <c r="D21" s="44">
        <f>EXPERT!I51</f>
        <v>1025</v>
      </c>
      <c r="E21" s="44">
        <f>EXPERT!I51</f>
        <v>1025</v>
      </c>
      <c r="F21" s="44">
        <v>83</v>
      </c>
      <c r="G21" s="44">
        <v>83</v>
      </c>
      <c r="H21" s="44">
        <v>83</v>
      </c>
      <c r="I21" s="44">
        <v>83</v>
      </c>
      <c r="J21" s="44">
        <v>51</v>
      </c>
      <c r="K21" s="44">
        <v>51</v>
      </c>
      <c r="L21" s="44">
        <v>51</v>
      </c>
      <c r="M21" s="44">
        <v>51</v>
      </c>
      <c r="N21" s="44">
        <v>41</v>
      </c>
      <c r="O21" s="44">
        <v>41</v>
      </c>
      <c r="T21" s="44" t="s">
        <v>152</v>
      </c>
      <c r="V21" s="44">
        <f>V18</f>
        <v>810000000</v>
      </c>
      <c r="X21" s="44" t="s">
        <v>178</v>
      </c>
      <c r="Y21" s="44">
        <f>V21</f>
        <v>810000000</v>
      </c>
    </row>
    <row r="22" spans="1:25" x14ac:dyDescent="0.25">
      <c r="A22" s="44">
        <f>2/12</f>
        <v>0.16666666666666666</v>
      </c>
      <c r="B22" s="44">
        <v>13</v>
      </c>
      <c r="C22" s="44">
        <v>3</v>
      </c>
      <c r="D22" s="44">
        <f>10/12</f>
        <v>0.83333333333333337</v>
      </c>
      <c r="E22" s="44">
        <v>9</v>
      </c>
      <c r="F22" s="44">
        <v>6.5</v>
      </c>
      <c r="G22" s="44">
        <f>2/12</f>
        <v>0.16666666666666666</v>
      </c>
      <c r="H22" s="44">
        <f>10/12</f>
        <v>0.83333333333333337</v>
      </c>
      <c r="I22" s="44">
        <v>5.5</v>
      </c>
      <c r="J22" s="44">
        <v>3</v>
      </c>
      <c r="K22" s="44">
        <f>1/12</f>
        <v>8.3333333333333329E-2</v>
      </c>
      <c r="L22" s="44">
        <f>5/12</f>
        <v>0.41666666666666669</v>
      </c>
      <c r="M22" s="44">
        <v>9.5</v>
      </c>
      <c r="N22" s="44">
        <v>6.5</v>
      </c>
      <c r="O22" s="44">
        <v>3</v>
      </c>
      <c r="T22" s="44" t="s">
        <v>153</v>
      </c>
      <c r="V22" s="44">
        <f>R12</f>
        <v>-1026000</v>
      </c>
      <c r="X22" s="44" t="s">
        <v>179</v>
      </c>
      <c r="Y22" s="44">
        <f>X14*X15</f>
        <v>28800</v>
      </c>
    </row>
    <row r="23" spans="1:25" x14ac:dyDescent="0.25">
      <c r="A23" s="44">
        <v>0.9</v>
      </c>
      <c r="B23" s="44">
        <v>1</v>
      </c>
      <c r="C23" s="44">
        <v>1</v>
      </c>
      <c r="D23" s="44">
        <v>1</v>
      </c>
      <c r="E23" s="44">
        <v>1</v>
      </c>
      <c r="F23" s="44">
        <v>1</v>
      </c>
      <c r="G23" s="44">
        <v>0.5</v>
      </c>
      <c r="H23" s="44">
        <v>0.8</v>
      </c>
      <c r="I23" s="44">
        <v>0.9</v>
      </c>
      <c r="J23" s="44">
        <v>1</v>
      </c>
      <c r="K23" s="44">
        <v>0.6</v>
      </c>
      <c r="L23" s="44">
        <v>0.8</v>
      </c>
      <c r="M23" s="44">
        <v>0.95</v>
      </c>
      <c r="N23" s="44">
        <v>1</v>
      </c>
      <c r="O23" s="44">
        <v>0.5</v>
      </c>
      <c r="T23" s="44" t="s">
        <v>154</v>
      </c>
      <c r="V23" s="44">
        <f>SUM(V21:V22)</f>
        <v>808974000</v>
      </c>
      <c r="X23" s="44" t="s">
        <v>181</v>
      </c>
      <c r="Y23" s="44">
        <v>200000</v>
      </c>
    </row>
    <row r="24" spans="1:25" x14ac:dyDescent="0.25">
      <c r="A24" s="44">
        <f t="shared" ref="A24:O24" si="3">A21*A22*A23</f>
        <v>153.75</v>
      </c>
      <c r="B24" s="44">
        <f t="shared" si="3"/>
        <v>114400</v>
      </c>
      <c r="C24" s="44">
        <f t="shared" si="3"/>
        <v>3075</v>
      </c>
      <c r="D24" s="44">
        <f t="shared" si="3"/>
        <v>854.16666666666674</v>
      </c>
      <c r="E24" s="44">
        <f t="shared" si="3"/>
        <v>9225</v>
      </c>
      <c r="F24" s="44">
        <f t="shared" si="3"/>
        <v>539.5</v>
      </c>
      <c r="G24" s="44">
        <f t="shared" si="3"/>
        <v>6.9166666666666661</v>
      </c>
      <c r="H24" s="44">
        <f t="shared" si="3"/>
        <v>55.333333333333343</v>
      </c>
      <c r="I24" s="44">
        <f t="shared" si="3"/>
        <v>410.85</v>
      </c>
      <c r="J24" s="44">
        <f t="shared" si="3"/>
        <v>153</v>
      </c>
      <c r="K24" s="44">
        <f t="shared" si="3"/>
        <v>2.5499999999999998</v>
      </c>
      <c r="L24" s="44">
        <f t="shared" si="3"/>
        <v>17</v>
      </c>
      <c r="M24" s="44">
        <f t="shared" si="3"/>
        <v>460.27499999999998</v>
      </c>
      <c r="N24" s="44">
        <f t="shared" si="3"/>
        <v>266.5</v>
      </c>
      <c r="O24" s="44">
        <f t="shared" si="3"/>
        <v>61.5</v>
      </c>
      <c r="P24" s="44">
        <f>SUM(A24:O24)</f>
        <v>129681.34166666667</v>
      </c>
      <c r="T24" s="44" t="s">
        <v>155</v>
      </c>
      <c r="V24" s="44">
        <f>V23/10000</f>
        <v>80897.399999999994</v>
      </c>
      <c r="X24" s="44" t="s">
        <v>180</v>
      </c>
      <c r="Y24" s="44">
        <f>Y22*Y23</f>
        <v>5760000000</v>
      </c>
    </row>
    <row r="25" spans="1:25" x14ac:dyDescent="0.25">
      <c r="C25" s="44">
        <f>SUM(C24:E24)</f>
        <v>13154.166666666668</v>
      </c>
      <c r="T25" s="44" t="s">
        <v>182</v>
      </c>
      <c r="Y25" s="44">
        <f>Y24-Y21</f>
        <v>4950000000</v>
      </c>
    </row>
    <row r="26" spans="1:25" x14ac:dyDescent="0.25">
      <c r="A26" s="44" t="s">
        <v>1</v>
      </c>
      <c r="B26" s="44" t="s">
        <v>0</v>
      </c>
      <c r="P26" s="44">
        <f>P24-P19</f>
        <v>32.741666666668607</v>
      </c>
    </row>
    <row r="27" spans="1:25" x14ac:dyDescent="0.25">
      <c r="A27" s="43" t="s">
        <v>11</v>
      </c>
      <c r="B27" s="46">
        <f>810/(P27)</f>
        <v>247391.19368794665</v>
      </c>
      <c r="C27" s="43" t="s">
        <v>0</v>
      </c>
      <c r="P27" s="44">
        <f>P26/10000</f>
        <v>3.2741666666668608E-3</v>
      </c>
      <c r="T27" s="44" t="s">
        <v>156</v>
      </c>
      <c r="V27" s="44" t="s">
        <v>158</v>
      </c>
      <c r="W27" s="44" t="s">
        <v>159</v>
      </c>
      <c r="Y27" s="44" t="s">
        <v>0</v>
      </c>
    </row>
    <row r="28" spans="1:25" x14ac:dyDescent="0.25">
      <c r="A28" s="44" t="s">
        <v>5</v>
      </c>
      <c r="B28" s="44">
        <f>B19</f>
        <v>128180</v>
      </c>
      <c r="C28" s="44">
        <f>B35+C35</f>
        <v>128180</v>
      </c>
      <c r="D28" s="44">
        <f>C28-B28</f>
        <v>0</v>
      </c>
      <c r="E28" s="44">
        <f>D28-32.74</f>
        <v>-32.74</v>
      </c>
      <c r="T28" s="44" t="s">
        <v>157</v>
      </c>
      <c r="V28" s="44">
        <v>8800</v>
      </c>
      <c r="W28" s="44">
        <v>1</v>
      </c>
      <c r="Y28" s="44" t="s">
        <v>0</v>
      </c>
    </row>
    <row r="29" spans="1:25" x14ac:dyDescent="0.25">
      <c r="B29" s="46">
        <f>V24/P27</f>
        <v>24707783.150927521</v>
      </c>
      <c r="T29" s="44" t="s">
        <v>160</v>
      </c>
      <c r="V29" s="44">
        <v>1025</v>
      </c>
      <c r="Y29" s="44" t="s">
        <v>0</v>
      </c>
    </row>
    <row r="30" spans="1:25" x14ac:dyDescent="0.25">
      <c r="U30" s="44" t="s">
        <v>161</v>
      </c>
      <c r="V30" s="44">
        <v>3</v>
      </c>
      <c r="W30" s="44" t="s">
        <v>159</v>
      </c>
      <c r="X30" s="44">
        <v>1</v>
      </c>
      <c r="Y30" s="44">
        <f>V29*V30</f>
        <v>3075</v>
      </c>
    </row>
    <row r="31" spans="1:25" x14ac:dyDescent="0.25">
      <c r="A31" s="43" t="s">
        <v>10</v>
      </c>
      <c r="U31" s="44" t="s">
        <v>161</v>
      </c>
      <c r="V31" s="44">
        <v>0.5</v>
      </c>
      <c r="W31" s="44" t="s">
        <v>159</v>
      </c>
      <c r="X31" s="44">
        <v>0.9</v>
      </c>
      <c r="Y31" s="44">
        <f>V29*V31*X31</f>
        <v>461.25</v>
      </c>
    </row>
    <row r="32" spans="1:25" x14ac:dyDescent="0.25">
      <c r="A32" s="45" t="s">
        <v>4</v>
      </c>
      <c r="B32" s="44">
        <f>B2-C32</f>
        <v>9860</v>
      </c>
      <c r="C32" s="44">
        <f>EXPERT!I52</f>
        <v>0</v>
      </c>
      <c r="D32" s="44">
        <v>83</v>
      </c>
      <c r="E32" s="44">
        <v>83</v>
      </c>
      <c r="F32" s="44">
        <v>83</v>
      </c>
      <c r="G32" s="44">
        <v>83</v>
      </c>
      <c r="H32" s="44">
        <v>57</v>
      </c>
      <c r="I32" s="44">
        <v>57</v>
      </c>
      <c r="U32" s="44" t="s">
        <v>161</v>
      </c>
      <c r="V32" s="44">
        <v>9</v>
      </c>
      <c r="W32" s="44" t="s">
        <v>159</v>
      </c>
      <c r="X32" s="44">
        <v>1</v>
      </c>
      <c r="Y32" s="44">
        <f>V29*V32*X32</f>
        <v>9225</v>
      </c>
    </row>
    <row r="33" spans="1:23" x14ac:dyDescent="0.25">
      <c r="B33" s="44">
        <v>13</v>
      </c>
      <c r="C33" s="44">
        <v>13</v>
      </c>
      <c r="D33" s="44">
        <v>6.5</v>
      </c>
      <c r="E33" s="44">
        <f>2/12</f>
        <v>0.16666666666666666</v>
      </c>
      <c r="F33" s="44">
        <f>10/12</f>
        <v>0.83333333333333337</v>
      </c>
      <c r="G33" s="44">
        <v>5.5</v>
      </c>
      <c r="H33" s="44">
        <v>6.5</v>
      </c>
      <c r="I33" s="44">
        <v>3</v>
      </c>
      <c r="U33" s="44" t="s">
        <v>161</v>
      </c>
      <c r="W33" s="44" t="s">
        <v>159</v>
      </c>
    </row>
    <row r="34" spans="1:23" x14ac:dyDescent="0.25">
      <c r="B34" s="44">
        <v>1</v>
      </c>
      <c r="C34" s="44">
        <v>0.9</v>
      </c>
      <c r="D34" s="44">
        <v>1</v>
      </c>
      <c r="E34" s="44">
        <v>0.5</v>
      </c>
      <c r="F34" s="44">
        <v>0.8</v>
      </c>
      <c r="G34" s="44">
        <v>0.9</v>
      </c>
      <c r="H34" s="44">
        <v>1</v>
      </c>
      <c r="I34" s="44">
        <v>0.5</v>
      </c>
    </row>
    <row r="35" spans="1:23" x14ac:dyDescent="0.25">
      <c r="B35" s="44">
        <f t="shared" ref="B35:I35" si="4">B32*B33*B34</f>
        <v>128180</v>
      </c>
      <c r="C35" s="44">
        <f t="shared" si="4"/>
        <v>0</v>
      </c>
      <c r="D35" s="44">
        <f t="shared" si="4"/>
        <v>539.5</v>
      </c>
      <c r="E35" s="44">
        <f t="shared" si="4"/>
        <v>6.9166666666666661</v>
      </c>
      <c r="F35" s="44">
        <f t="shared" si="4"/>
        <v>55.333333333333343</v>
      </c>
      <c r="G35" s="44">
        <f t="shared" si="4"/>
        <v>410.85</v>
      </c>
      <c r="H35" s="44">
        <f t="shared" si="4"/>
        <v>370.5</v>
      </c>
      <c r="I35" s="44">
        <f t="shared" si="4"/>
        <v>85.5</v>
      </c>
      <c r="J35" s="44">
        <f>SUM(B35:I35)</f>
        <v>129648.6</v>
      </c>
      <c r="P35" s="44">
        <f>J35</f>
        <v>129648.6</v>
      </c>
      <c r="Q35" s="44" t="s">
        <v>0</v>
      </c>
    </row>
    <row r="37" spans="1:23" x14ac:dyDescent="0.25">
      <c r="A37" s="44">
        <v>1025</v>
      </c>
      <c r="B37" s="44">
        <f>9825-C21</f>
        <v>8800</v>
      </c>
      <c r="C37" s="44">
        <f>EXPERT!I51</f>
        <v>1025</v>
      </c>
      <c r="D37" s="44">
        <f>EXPERT!I51</f>
        <v>1025</v>
      </c>
      <c r="E37" s="44">
        <f>EXPERT!I51</f>
        <v>1025</v>
      </c>
      <c r="F37" s="44">
        <v>83</v>
      </c>
      <c r="G37" s="44">
        <v>83</v>
      </c>
      <c r="H37" s="44">
        <v>83</v>
      </c>
      <c r="I37" s="44">
        <v>83</v>
      </c>
      <c r="J37" s="44">
        <v>51</v>
      </c>
      <c r="K37" s="44">
        <v>51</v>
      </c>
      <c r="L37" s="44">
        <v>51</v>
      </c>
      <c r="M37" s="44">
        <v>51</v>
      </c>
      <c r="N37" s="44">
        <v>41</v>
      </c>
      <c r="O37" s="44">
        <v>41</v>
      </c>
    </row>
    <row r="38" spans="1:23" x14ac:dyDescent="0.25">
      <c r="A38" s="44">
        <f>EXPERT!E7/12</f>
        <v>0.5</v>
      </c>
      <c r="B38" s="44">
        <v>13</v>
      </c>
      <c r="C38" s="44">
        <v>3</v>
      </c>
      <c r="D38" s="44">
        <f>1-A38</f>
        <v>0.5</v>
      </c>
      <c r="E38" s="44">
        <v>9</v>
      </c>
      <c r="F38" s="44">
        <v>6.5</v>
      </c>
      <c r="G38" s="44">
        <f>2/12</f>
        <v>0.16666666666666666</v>
      </c>
      <c r="H38" s="44">
        <f>10/12</f>
        <v>0.83333333333333337</v>
      </c>
      <c r="I38" s="44">
        <v>5.5</v>
      </c>
      <c r="J38" s="44">
        <v>3</v>
      </c>
      <c r="K38" s="44">
        <f>1/12</f>
        <v>8.3333333333333329E-2</v>
      </c>
      <c r="L38" s="44">
        <f>5/12</f>
        <v>0.41666666666666669</v>
      </c>
      <c r="M38" s="44">
        <v>9.5</v>
      </c>
      <c r="N38" s="44">
        <v>6.5</v>
      </c>
      <c r="O38" s="44">
        <v>3</v>
      </c>
    </row>
    <row r="39" spans="1:23" x14ac:dyDescent="0.25">
      <c r="A39" s="44">
        <v>0.9</v>
      </c>
      <c r="B39" s="44">
        <v>1</v>
      </c>
      <c r="C39" s="44">
        <v>1</v>
      </c>
      <c r="D39" s="44">
        <v>1</v>
      </c>
      <c r="E39" s="44">
        <v>1</v>
      </c>
      <c r="F39" s="44">
        <v>1</v>
      </c>
      <c r="G39" s="44">
        <v>0.5</v>
      </c>
      <c r="H39" s="44">
        <v>0.8</v>
      </c>
      <c r="I39" s="44">
        <v>0.9</v>
      </c>
      <c r="J39" s="44">
        <v>1</v>
      </c>
      <c r="K39" s="44">
        <v>0.6</v>
      </c>
      <c r="L39" s="44">
        <v>0.8</v>
      </c>
      <c r="M39" s="44">
        <v>0.95</v>
      </c>
      <c r="N39" s="44">
        <v>1</v>
      </c>
      <c r="O39" s="44">
        <v>0.5</v>
      </c>
    </row>
    <row r="40" spans="1:23" x14ac:dyDescent="0.25">
      <c r="A40" s="44">
        <f t="shared" ref="A40:O40" si="5">A37*A38*A39</f>
        <v>461.25</v>
      </c>
      <c r="B40" s="44">
        <f t="shared" si="5"/>
        <v>114400</v>
      </c>
      <c r="C40" s="44">
        <f t="shared" si="5"/>
        <v>3075</v>
      </c>
      <c r="D40" s="44">
        <f t="shared" si="5"/>
        <v>512.5</v>
      </c>
      <c r="E40" s="44">
        <f t="shared" si="5"/>
        <v>9225</v>
      </c>
      <c r="F40" s="44">
        <f t="shared" si="5"/>
        <v>539.5</v>
      </c>
      <c r="G40" s="44">
        <f t="shared" si="5"/>
        <v>6.9166666666666661</v>
      </c>
      <c r="H40" s="44">
        <f t="shared" si="5"/>
        <v>55.333333333333343</v>
      </c>
      <c r="I40" s="44">
        <f t="shared" si="5"/>
        <v>410.85</v>
      </c>
      <c r="J40" s="44">
        <f t="shared" si="5"/>
        <v>153</v>
      </c>
      <c r="K40" s="44">
        <f t="shared" si="5"/>
        <v>2.5499999999999998</v>
      </c>
      <c r="L40" s="44">
        <f t="shared" si="5"/>
        <v>17</v>
      </c>
      <c r="M40" s="44">
        <f t="shared" si="5"/>
        <v>460.27499999999998</v>
      </c>
      <c r="N40" s="44">
        <f t="shared" si="5"/>
        <v>266.5</v>
      </c>
      <c r="O40" s="44">
        <f t="shared" si="5"/>
        <v>61.5</v>
      </c>
      <c r="P40" s="44">
        <f>SUM(A40:O40)</f>
        <v>129647.175</v>
      </c>
      <c r="Q40" s="44" t="s">
        <v>0</v>
      </c>
    </row>
    <row r="41" spans="1:23" x14ac:dyDescent="0.25">
      <c r="C41" s="44">
        <f>SUM(C40:E40)</f>
        <v>12812.5</v>
      </c>
    </row>
    <row r="42" spans="1:23" x14ac:dyDescent="0.25">
      <c r="A42" s="44" t="s">
        <v>1</v>
      </c>
      <c r="B42" s="44" t="s">
        <v>0</v>
      </c>
      <c r="P42" s="44">
        <f>P40-P35</f>
        <v>-1.4250000000029104</v>
      </c>
    </row>
    <row r="43" spans="1:23" x14ac:dyDescent="0.25">
      <c r="P43" s="44">
        <f>P42/10000</f>
        <v>-1.4250000000029105E-4</v>
      </c>
    </row>
    <row r="44" spans="1:23" x14ac:dyDescent="0.25">
      <c r="A44" s="43" t="s">
        <v>11</v>
      </c>
      <c r="B44" s="46">
        <f>810/(P42/10000)</f>
        <v>-5684210.5263041798</v>
      </c>
      <c r="C44" s="43" t="s">
        <v>0</v>
      </c>
    </row>
    <row r="45" spans="1:23" x14ac:dyDescent="0.25">
      <c r="B45" s="44">
        <v>9860</v>
      </c>
      <c r="C45" s="44">
        <v>986</v>
      </c>
      <c r="D45" s="44">
        <f>B45-C45</f>
        <v>8874</v>
      </c>
    </row>
    <row r="46" spans="1:23" x14ac:dyDescent="0.25">
      <c r="C46" s="44">
        <v>13</v>
      </c>
      <c r="D46" s="44">
        <v>13</v>
      </c>
      <c r="J46" s="44">
        <f>8*1025</f>
        <v>8200</v>
      </c>
    </row>
    <row r="47" spans="1:23" x14ac:dyDescent="0.25">
      <c r="C47" s="44">
        <v>0.9</v>
      </c>
      <c r="D47" s="44">
        <v>1</v>
      </c>
    </row>
    <row r="48" spans="1:23" x14ac:dyDescent="0.25">
      <c r="C48" s="44">
        <f>SUM(C45:C47)</f>
        <v>999.9</v>
      </c>
      <c r="D48" s="44">
        <f>SUM(D45:D47)</f>
        <v>8888</v>
      </c>
      <c r="M48" s="47" t="s">
        <v>166</v>
      </c>
    </row>
    <row r="49" spans="1:25" x14ac:dyDescent="0.25">
      <c r="B49" s="46">
        <f>V24/P43</f>
        <v>-567701052.63041937</v>
      </c>
      <c r="M49" s="47">
        <f>M53-M52-M51-M50</f>
        <v>9325</v>
      </c>
    </row>
    <row r="50" spans="1:25" x14ac:dyDescent="0.25">
      <c r="M50" s="47">
        <v>500</v>
      </c>
    </row>
    <row r="51" spans="1:25" x14ac:dyDescent="0.25">
      <c r="A51" s="43" t="s">
        <v>167</v>
      </c>
      <c r="M51" s="47">
        <v>134</v>
      </c>
    </row>
    <row r="52" spans="1:25" x14ac:dyDescent="0.25">
      <c r="A52" s="45" t="s">
        <v>6</v>
      </c>
      <c r="B52" s="44">
        <v>8874</v>
      </c>
      <c r="C52" s="44">
        <v>986</v>
      </c>
      <c r="D52" s="44">
        <v>83</v>
      </c>
      <c r="E52" s="44">
        <v>83</v>
      </c>
      <c r="F52" s="44">
        <v>83</v>
      </c>
      <c r="G52" s="44">
        <v>83</v>
      </c>
      <c r="H52" s="44">
        <v>57</v>
      </c>
      <c r="I52" s="44">
        <v>57</v>
      </c>
      <c r="M52" s="47">
        <v>41</v>
      </c>
      <c r="P52" s="44">
        <f>B52+C52+D52+H52</f>
        <v>10000</v>
      </c>
      <c r="T52" s="44" t="s">
        <v>160</v>
      </c>
      <c r="V52" s="44">
        <v>1025</v>
      </c>
      <c r="Y52" s="44" t="s">
        <v>0</v>
      </c>
    </row>
    <row r="53" spans="1:25" x14ac:dyDescent="0.25">
      <c r="B53" s="44">
        <v>13</v>
      </c>
      <c r="C53" s="44">
        <v>13</v>
      </c>
      <c r="D53" s="44">
        <v>6.5</v>
      </c>
      <c r="E53" s="44">
        <f>2/12</f>
        <v>0.16666666666666666</v>
      </c>
      <c r="F53" s="44">
        <f>10/12</f>
        <v>0.83333333333333337</v>
      </c>
      <c r="G53" s="44">
        <v>5.5</v>
      </c>
      <c r="H53" s="44">
        <v>6.5</v>
      </c>
      <c r="I53" s="44">
        <v>3</v>
      </c>
      <c r="M53" s="47">
        <v>10000</v>
      </c>
      <c r="U53" s="44" t="s">
        <v>161</v>
      </c>
      <c r="V53" s="44">
        <v>3</v>
      </c>
      <c r="W53" s="44" t="s">
        <v>159</v>
      </c>
      <c r="X53" s="44">
        <v>1</v>
      </c>
      <c r="Y53" s="44">
        <f>V52*V53</f>
        <v>3075</v>
      </c>
    </row>
    <row r="54" spans="1:25" x14ac:dyDescent="0.25">
      <c r="B54" s="44">
        <v>1</v>
      </c>
      <c r="C54" s="44">
        <v>0.9</v>
      </c>
      <c r="D54" s="44">
        <v>1</v>
      </c>
      <c r="E54" s="44">
        <v>0.5</v>
      </c>
      <c r="F54" s="44">
        <v>0.8</v>
      </c>
      <c r="G54" s="44">
        <v>0.9</v>
      </c>
      <c r="H54" s="44">
        <v>1</v>
      </c>
      <c r="I54" s="44">
        <v>0.5</v>
      </c>
      <c r="U54" s="44" t="s">
        <v>161</v>
      </c>
      <c r="V54" s="44">
        <f>2/12</f>
        <v>0.16666666666666666</v>
      </c>
      <c r="W54" s="44" t="s">
        <v>159</v>
      </c>
      <c r="X54" s="44">
        <v>0.9</v>
      </c>
      <c r="Y54" s="44">
        <f>V52*V54*X54</f>
        <v>153.75</v>
      </c>
    </row>
    <row r="55" spans="1:25" x14ac:dyDescent="0.25">
      <c r="B55" s="44">
        <f t="shared" ref="B55:I55" si="6">B52*B53*B54</f>
        <v>115362</v>
      </c>
      <c r="C55" s="44">
        <f t="shared" si="6"/>
        <v>11536.2</v>
      </c>
      <c r="D55" s="44">
        <f t="shared" si="6"/>
        <v>539.5</v>
      </c>
      <c r="E55" s="44">
        <f t="shared" si="6"/>
        <v>6.9166666666666661</v>
      </c>
      <c r="F55" s="44">
        <f t="shared" si="6"/>
        <v>55.333333333333343</v>
      </c>
      <c r="G55" s="44">
        <f t="shared" si="6"/>
        <v>410.85</v>
      </c>
      <c r="H55" s="44">
        <f t="shared" si="6"/>
        <v>370.5</v>
      </c>
      <c r="I55" s="44">
        <f t="shared" si="6"/>
        <v>85.5</v>
      </c>
      <c r="J55" s="44">
        <f>SUM(B55:I55)</f>
        <v>128366.8</v>
      </c>
      <c r="P55" s="44">
        <f>J55</f>
        <v>128366.8</v>
      </c>
      <c r="U55" s="44" t="s">
        <v>161</v>
      </c>
      <c r="V55" s="44">
        <f>10/12</f>
        <v>0.83333333333333337</v>
      </c>
      <c r="W55" s="44" t="s">
        <v>159</v>
      </c>
      <c r="X55" s="44">
        <v>1</v>
      </c>
      <c r="Y55" s="44">
        <f>V52*V55*X55</f>
        <v>854.16666666666674</v>
      </c>
    </row>
    <row r="56" spans="1:25" x14ac:dyDescent="0.25">
      <c r="P56" s="44">
        <f>P55/10000</f>
        <v>12.836679999999999</v>
      </c>
      <c r="R56" s="44" t="s">
        <v>162</v>
      </c>
      <c r="S56" s="44">
        <v>10000</v>
      </c>
      <c r="U56" s="44" t="s">
        <v>161</v>
      </c>
      <c r="V56" s="44">
        <v>9</v>
      </c>
      <c r="W56" s="44" t="s">
        <v>159</v>
      </c>
      <c r="X56" s="44">
        <v>1</v>
      </c>
      <c r="Y56" s="44">
        <f>V52*V56*X56</f>
        <v>9225</v>
      </c>
    </row>
    <row r="57" spans="1:25" x14ac:dyDescent="0.25">
      <c r="A57" s="44">
        <v>800</v>
      </c>
      <c r="B57" s="44">
        <f>9200-83-51-41</f>
        <v>9025</v>
      </c>
      <c r="C57" s="44">
        <v>800</v>
      </c>
      <c r="D57" s="44">
        <v>800</v>
      </c>
      <c r="E57" s="44">
        <v>800</v>
      </c>
      <c r="F57" s="44">
        <v>83</v>
      </c>
      <c r="G57" s="44">
        <v>83</v>
      </c>
      <c r="H57" s="44">
        <v>83</v>
      </c>
      <c r="I57" s="44">
        <v>83</v>
      </c>
      <c r="J57" s="44">
        <v>51</v>
      </c>
      <c r="K57" s="44">
        <v>51</v>
      </c>
      <c r="L57" s="44">
        <v>51</v>
      </c>
      <c r="M57" s="44">
        <v>51</v>
      </c>
      <c r="N57" s="44">
        <v>41</v>
      </c>
      <c r="O57" s="44">
        <v>41</v>
      </c>
      <c r="P57" s="44">
        <f>B57+C57+K57+N57+I57</f>
        <v>10000</v>
      </c>
      <c r="R57" s="44" t="s">
        <v>160</v>
      </c>
      <c r="S57" s="44">
        <f>S56/100*5</f>
        <v>500</v>
      </c>
      <c r="Y57" s="44">
        <f>SUM(Y53:Y56)</f>
        <v>13307.916666666668</v>
      </c>
    </row>
    <row r="58" spans="1:25" x14ac:dyDescent="0.25">
      <c r="A58" s="44">
        <f>2/12</f>
        <v>0.16666666666666666</v>
      </c>
      <c r="B58" s="44">
        <v>13</v>
      </c>
      <c r="C58" s="44">
        <v>3</v>
      </c>
      <c r="D58" s="44">
        <f>10/12</f>
        <v>0.83333333333333337</v>
      </c>
      <c r="E58" s="44">
        <v>9</v>
      </c>
      <c r="F58" s="44">
        <v>6.5</v>
      </c>
      <c r="G58" s="44">
        <f>2/12</f>
        <v>0.16666666666666666</v>
      </c>
      <c r="H58" s="44">
        <f>10/12</f>
        <v>0.83333333333333337</v>
      </c>
      <c r="I58" s="44">
        <v>5.5</v>
      </c>
      <c r="J58" s="44">
        <v>3</v>
      </c>
      <c r="K58" s="44">
        <f>1/12</f>
        <v>8.3333333333333329E-2</v>
      </c>
      <c r="L58" s="44">
        <f>5/12</f>
        <v>0.41666666666666669</v>
      </c>
      <c r="M58" s="44">
        <v>9.5</v>
      </c>
      <c r="N58" s="44">
        <v>6.5</v>
      </c>
      <c r="O58" s="44">
        <v>3</v>
      </c>
      <c r="R58" s="44" t="s">
        <v>163</v>
      </c>
      <c r="S58" s="44">
        <v>83</v>
      </c>
    </row>
    <row r="59" spans="1:25" x14ac:dyDescent="0.25">
      <c r="A59" s="44">
        <v>0.9</v>
      </c>
      <c r="B59" s="44">
        <v>1</v>
      </c>
      <c r="C59" s="44">
        <v>1</v>
      </c>
      <c r="D59" s="44">
        <v>1</v>
      </c>
      <c r="E59" s="44">
        <v>1</v>
      </c>
      <c r="F59" s="44">
        <v>1</v>
      </c>
      <c r="G59" s="44">
        <v>0.5</v>
      </c>
      <c r="H59" s="44">
        <v>0.8</v>
      </c>
      <c r="I59" s="44">
        <v>0.9</v>
      </c>
      <c r="J59" s="44">
        <v>1</v>
      </c>
      <c r="K59" s="44">
        <v>0.6</v>
      </c>
      <c r="L59" s="44">
        <v>0.8</v>
      </c>
      <c r="M59" s="44">
        <v>0.95</v>
      </c>
      <c r="N59" s="44">
        <v>1</v>
      </c>
      <c r="O59" s="44">
        <v>0.5</v>
      </c>
      <c r="R59" s="44" t="s">
        <v>164</v>
      </c>
      <c r="S59" s="44">
        <v>41</v>
      </c>
    </row>
    <row r="60" spans="1:25" x14ac:dyDescent="0.25">
      <c r="A60" s="44">
        <f t="shared" ref="A60:O60" si="7">A57*A58*A59</f>
        <v>119.99999999999999</v>
      </c>
      <c r="B60" s="44">
        <f t="shared" si="7"/>
        <v>117325</v>
      </c>
      <c r="C60" s="44">
        <f t="shared" si="7"/>
        <v>2400</v>
      </c>
      <c r="D60" s="44">
        <f t="shared" si="7"/>
        <v>666.66666666666674</v>
      </c>
      <c r="E60" s="44">
        <f t="shared" si="7"/>
        <v>7200</v>
      </c>
      <c r="F60" s="44">
        <f t="shared" si="7"/>
        <v>539.5</v>
      </c>
      <c r="G60" s="44">
        <f t="shared" si="7"/>
        <v>6.9166666666666661</v>
      </c>
      <c r="H60" s="44">
        <f t="shared" si="7"/>
        <v>55.333333333333343</v>
      </c>
      <c r="I60" s="44">
        <f t="shared" si="7"/>
        <v>410.85</v>
      </c>
      <c r="J60" s="44">
        <f t="shared" si="7"/>
        <v>153</v>
      </c>
      <c r="K60" s="44">
        <f t="shared" si="7"/>
        <v>2.5499999999999998</v>
      </c>
      <c r="L60" s="44">
        <f t="shared" si="7"/>
        <v>17</v>
      </c>
      <c r="M60" s="44">
        <f t="shared" si="7"/>
        <v>460.27499999999998</v>
      </c>
      <c r="N60" s="44">
        <f t="shared" si="7"/>
        <v>266.5</v>
      </c>
      <c r="O60" s="44">
        <f t="shared" si="7"/>
        <v>61.5</v>
      </c>
      <c r="P60" s="44">
        <f>SUM(A60:O60)</f>
        <v>129685.09166666667</v>
      </c>
    </row>
    <row r="61" spans="1:25" x14ac:dyDescent="0.25">
      <c r="C61" s="44">
        <f>SUM(C60:E60)</f>
        <v>10266.666666666668</v>
      </c>
    </row>
    <row r="62" spans="1:25" x14ac:dyDescent="0.25">
      <c r="A62" s="44" t="s">
        <v>1</v>
      </c>
      <c r="B62" s="44" t="s">
        <v>0</v>
      </c>
      <c r="P62" s="44">
        <f>P60-P55</f>
        <v>1318.2916666666715</v>
      </c>
    </row>
    <row r="63" spans="1:25" x14ac:dyDescent="0.25">
      <c r="B63" s="44" t="s">
        <v>7</v>
      </c>
      <c r="C63" s="44" t="s">
        <v>8</v>
      </c>
      <c r="P63" s="44">
        <f>P62/10000</f>
        <v>0.13182916666666716</v>
      </c>
    </row>
    <row r="64" spans="1:25" x14ac:dyDescent="0.25">
      <c r="B64" s="44">
        <v>512</v>
      </c>
      <c r="C64" s="44">
        <f>8800+513</f>
        <v>9313</v>
      </c>
    </row>
    <row r="66" spans="1:16" x14ac:dyDescent="0.25">
      <c r="A66" s="43" t="s">
        <v>11</v>
      </c>
      <c r="B66" s="46">
        <f>810/(P62/10000)</f>
        <v>6144.3155599102138</v>
      </c>
      <c r="C66" s="43" t="s">
        <v>168</v>
      </c>
    </row>
    <row r="67" spans="1:16" x14ac:dyDescent="0.25">
      <c r="B67" s="46">
        <f>V24/P63</f>
        <v>613653.27602009941</v>
      </c>
    </row>
    <row r="71" spans="1:16" x14ac:dyDescent="0.25">
      <c r="A71" s="45" t="s">
        <v>170</v>
      </c>
      <c r="B71" s="44">
        <v>9860</v>
      </c>
      <c r="C71" s="44">
        <v>83</v>
      </c>
      <c r="D71" s="44">
        <v>83</v>
      </c>
      <c r="E71" s="44">
        <v>83</v>
      </c>
      <c r="F71" s="44">
        <v>83</v>
      </c>
      <c r="G71" s="44">
        <v>57</v>
      </c>
      <c r="H71" s="44">
        <v>57</v>
      </c>
      <c r="K71" s="44">
        <f>13*9860</f>
        <v>128180</v>
      </c>
    </row>
    <row r="72" spans="1:16" x14ac:dyDescent="0.25">
      <c r="B72" s="44">
        <v>13</v>
      </c>
      <c r="C72" s="44">
        <v>6.5</v>
      </c>
      <c r="D72" s="44">
        <f>2/12</f>
        <v>0.16666666666666666</v>
      </c>
      <c r="E72" s="44">
        <f>10/12</f>
        <v>0.83333333333333337</v>
      </c>
      <c r="F72" s="44">
        <v>5.5</v>
      </c>
      <c r="G72" s="44">
        <v>6.5</v>
      </c>
      <c r="H72" s="44">
        <v>3</v>
      </c>
    </row>
    <row r="73" spans="1:16" x14ac:dyDescent="0.25">
      <c r="B73" s="48">
        <v>0.95</v>
      </c>
      <c r="C73" s="44">
        <v>1</v>
      </c>
      <c r="D73" s="44">
        <v>0.5</v>
      </c>
      <c r="E73" s="44">
        <v>0.8</v>
      </c>
      <c r="F73" s="44">
        <v>0.9</v>
      </c>
      <c r="G73" s="44">
        <v>1</v>
      </c>
      <c r="H73" s="44">
        <v>0.5</v>
      </c>
    </row>
    <row r="74" spans="1:16" x14ac:dyDescent="0.25">
      <c r="B74" s="44">
        <f>B71*B72*B73</f>
        <v>121771</v>
      </c>
      <c r="C74" s="44">
        <f t="shared" ref="C74:H74" si="8">C71*C72*C73</f>
        <v>539.5</v>
      </c>
      <c r="D74" s="44">
        <f t="shared" si="8"/>
        <v>6.9166666666666661</v>
      </c>
      <c r="E74" s="44">
        <f t="shared" si="8"/>
        <v>55.333333333333343</v>
      </c>
      <c r="F74" s="44">
        <f t="shared" si="8"/>
        <v>410.85</v>
      </c>
      <c r="G74" s="44">
        <f t="shared" si="8"/>
        <v>370.5</v>
      </c>
      <c r="H74" s="44">
        <f t="shared" si="8"/>
        <v>85.5</v>
      </c>
      <c r="I74" s="44">
        <f>SUM(B74:H74)</f>
        <v>123239.6</v>
      </c>
      <c r="P74" s="44">
        <f>I74</f>
        <v>123239.6</v>
      </c>
    </row>
    <row r="76" spans="1:16" x14ac:dyDescent="0.25">
      <c r="A76" s="44" t="s">
        <v>0</v>
      </c>
      <c r="B76" s="44">
        <v>8800</v>
      </c>
      <c r="C76" s="44">
        <v>1025</v>
      </c>
      <c r="D76" s="44">
        <v>1025</v>
      </c>
      <c r="E76" s="44">
        <v>1025</v>
      </c>
      <c r="F76" s="44">
        <v>83</v>
      </c>
      <c r="G76" s="44">
        <v>83</v>
      </c>
      <c r="H76" s="44">
        <v>83</v>
      </c>
      <c r="I76" s="44">
        <v>83</v>
      </c>
      <c r="J76" s="44">
        <v>51</v>
      </c>
      <c r="K76" s="44">
        <v>51</v>
      </c>
      <c r="L76" s="44">
        <v>51</v>
      </c>
      <c r="M76" s="44">
        <v>51</v>
      </c>
      <c r="N76" s="44">
        <v>41</v>
      </c>
      <c r="O76" s="44">
        <v>41</v>
      </c>
    </row>
    <row r="77" spans="1:16" x14ac:dyDescent="0.25">
      <c r="A77" s="44" t="s">
        <v>0</v>
      </c>
      <c r="B77" s="44">
        <v>13</v>
      </c>
      <c r="C77" s="44">
        <v>3</v>
      </c>
      <c r="D77" s="44">
        <v>0.5</v>
      </c>
      <c r="E77" s="44">
        <v>9.5</v>
      </c>
      <c r="F77" s="44">
        <v>6.5</v>
      </c>
      <c r="G77" s="44">
        <f>2/12</f>
        <v>0.16666666666666666</v>
      </c>
      <c r="H77" s="44">
        <f>10/12</f>
        <v>0.83333333333333337</v>
      </c>
      <c r="I77" s="44">
        <v>5.5</v>
      </c>
      <c r="J77" s="44">
        <v>3</v>
      </c>
      <c r="K77" s="44">
        <f>1/12</f>
        <v>8.3333333333333329E-2</v>
      </c>
      <c r="L77" s="44">
        <f>5/12</f>
        <v>0.41666666666666669</v>
      </c>
      <c r="M77" s="44">
        <v>9.5</v>
      </c>
      <c r="N77" s="44">
        <v>6.5</v>
      </c>
      <c r="O77" s="44">
        <v>3</v>
      </c>
    </row>
    <row r="78" spans="1:16" x14ac:dyDescent="0.25">
      <c r="A78" s="44" t="s">
        <v>0</v>
      </c>
      <c r="B78" s="48">
        <v>0.95</v>
      </c>
      <c r="C78" s="44">
        <v>1</v>
      </c>
      <c r="D78" s="44">
        <v>0.9</v>
      </c>
      <c r="E78" s="44">
        <v>1</v>
      </c>
      <c r="F78" s="44">
        <v>1</v>
      </c>
      <c r="G78" s="44">
        <v>0.5</v>
      </c>
      <c r="H78" s="44">
        <v>0.8</v>
      </c>
      <c r="I78" s="44">
        <v>0.9</v>
      </c>
      <c r="J78" s="44">
        <v>1</v>
      </c>
      <c r="K78" s="44">
        <v>0.6</v>
      </c>
      <c r="L78" s="44">
        <v>0.8</v>
      </c>
      <c r="M78" s="44">
        <v>0.95</v>
      </c>
      <c r="N78" s="44">
        <v>1</v>
      </c>
      <c r="O78" s="44">
        <v>0.5</v>
      </c>
    </row>
    <row r="79" spans="1:16" x14ac:dyDescent="0.25">
      <c r="A79" s="44" t="s">
        <v>0</v>
      </c>
      <c r="B79" s="44">
        <f>B76*B77*B78</f>
        <v>108680</v>
      </c>
      <c r="C79" s="44">
        <f t="shared" ref="C79:E79" si="9">C76*C77*C78</f>
        <v>3075</v>
      </c>
      <c r="D79" s="44">
        <f t="shared" si="9"/>
        <v>461.25</v>
      </c>
      <c r="E79" s="44">
        <f t="shared" si="9"/>
        <v>9737.5</v>
      </c>
      <c r="F79" s="44">
        <f>F76*F77*F78</f>
        <v>539.5</v>
      </c>
      <c r="G79" s="44">
        <f>G76*G77*G78</f>
        <v>6.9166666666666661</v>
      </c>
      <c r="H79" s="44">
        <f>H76*H77*H78</f>
        <v>55.333333333333343</v>
      </c>
      <c r="I79" s="44">
        <f>I76*I77*I78</f>
        <v>410.85</v>
      </c>
      <c r="J79" s="44">
        <f t="shared" ref="J79:O79" si="10">J76*J77*J78</f>
        <v>153</v>
      </c>
      <c r="K79" s="44">
        <f t="shared" si="10"/>
        <v>2.5499999999999998</v>
      </c>
      <c r="L79" s="44">
        <f t="shared" si="10"/>
        <v>17</v>
      </c>
      <c r="M79" s="44">
        <f t="shared" si="10"/>
        <v>460.27499999999998</v>
      </c>
      <c r="N79" s="44">
        <f t="shared" si="10"/>
        <v>266.5</v>
      </c>
      <c r="O79" s="44">
        <f t="shared" si="10"/>
        <v>61.5</v>
      </c>
      <c r="P79" s="44">
        <f>SUM(B79:O79)</f>
        <v>123927.175</v>
      </c>
    </row>
    <row r="81" spans="1:16" x14ac:dyDescent="0.25">
      <c r="A81" s="43" t="s">
        <v>11</v>
      </c>
      <c r="B81" s="46">
        <f>810/(P81/10000)</f>
        <v>11780.533032760113</v>
      </c>
      <c r="C81" s="43" t="s">
        <v>0</v>
      </c>
      <c r="P81" s="44">
        <f>P79-P74</f>
        <v>687.57499999999709</v>
      </c>
    </row>
    <row r="84" spans="1:16" x14ac:dyDescent="0.25">
      <c r="A84" s="43" t="s">
        <v>9</v>
      </c>
    </row>
    <row r="85" spans="1:16" x14ac:dyDescent="0.25">
      <c r="A85" s="45" t="s">
        <v>3</v>
      </c>
      <c r="B85" s="44">
        <v>9860</v>
      </c>
      <c r="C85" s="44">
        <v>83</v>
      </c>
      <c r="D85" s="44">
        <v>83</v>
      </c>
      <c r="E85" s="44">
        <v>83</v>
      </c>
      <c r="F85" s="44">
        <v>83</v>
      </c>
      <c r="G85" s="44">
        <v>57</v>
      </c>
      <c r="H85" s="44">
        <v>57</v>
      </c>
    </row>
    <row r="86" spans="1:16" x14ac:dyDescent="0.25">
      <c r="B86" s="44">
        <v>13</v>
      </c>
      <c r="C86" s="44">
        <v>6.5</v>
      </c>
      <c r="D86" s="44">
        <f>2/12</f>
        <v>0.16666666666666666</v>
      </c>
      <c r="E86" s="44">
        <f>10/12</f>
        <v>0.83333333333333337</v>
      </c>
      <c r="F86" s="44">
        <v>5.5</v>
      </c>
      <c r="G86" s="44">
        <v>6.5</v>
      </c>
      <c r="H86" s="44">
        <v>3</v>
      </c>
    </row>
    <row r="87" spans="1:16" x14ac:dyDescent="0.25">
      <c r="B87" s="44">
        <v>0.95</v>
      </c>
      <c r="C87" s="44">
        <v>1</v>
      </c>
      <c r="D87" s="44">
        <v>0.5</v>
      </c>
      <c r="E87" s="44">
        <v>0.8</v>
      </c>
      <c r="F87" s="44">
        <v>0.9</v>
      </c>
      <c r="G87" s="44">
        <v>1</v>
      </c>
      <c r="H87" s="44">
        <v>0.5</v>
      </c>
    </row>
    <row r="88" spans="1:16" x14ac:dyDescent="0.25">
      <c r="B88" s="44">
        <f t="shared" ref="B88:H88" si="11">B85*B86*B87</f>
        <v>121771</v>
      </c>
      <c r="C88" s="44">
        <f t="shared" si="11"/>
        <v>539.5</v>
      </c>
      <c r="D88" s="44">
        <f t="shared" si="11"/>
        <v>6.9166666666666661</v>
      </c>
      <c r="E88" s="44">
        <f t="shared" si="11"/>
        <v>55.333333333333343</v>
      </c>
      <c r="F88" s="44">
        <f t="shared" si="11"/>
        <v>410.85</v>
      </c>
      <c r="G88" s="44">
        <f t="shared" si="11"/>
        <v>370.5</v>
      </c>
      <c r="H88" s="44">
        <f t="shared" si="11"/>
        <v>85.5</v>
      </c>
      <c r="I88" s="44">
        <f>SUM(B88:H88)</f>
        <v>123239.6</v>
      </c>
      <c r="P88" s="44">
        <f>I88</f>
        <v>123239.6</v>
      </c>
    </row>
    <row r="90" spans="1:16" x14ac:dyDescent="0.25">
      <c r="A90" s="44">
        <v>1025</v>
      </c>
      <c r="B90" s="44">
        <v>8800</v>
      </c>
      <c r="C90" s="44">
        <v>1025</v>
      </c>
      <c r="D90" s="44">
        <v>1025</v>
      </c>
      <c r="E90" s="44">
        <v>1025</v>
      </c>
      <c r="F90" s="44">
        <v>83</v>
      </c>
      <c r="G90" s="44">
        <v>83</v>
      </c>
      <c r="H90" s="44">
        <v>83</v>
      </c>
      <c r="I90" s="44">
        <v>83</v>
      </c>
      <c r="J90" s="44">
        <v>51</v>
      </c>
      <c r="K90" s="44">
        <v>51</v>
      </c>
      <c r="L90" s="44">
        <v>51</v>
      </c>
      <c r="M90" s="44">
        <v>51</v>
      </c>
      <c r="N90" s="44">
        <v>41</v>
      </c>
      <c r="O90" s="44">
        <v>41</v>
      </c>
    </row>
    <row r="91" spans="1:16" x14ac:dyDescent="0.25">
      <c r="A91" s="44">
        <f>2/12</f>
        <v>0.16666666666666666</v>
      </c>
      <c r="B91" s="44">
        <v>13</v>
      </c>
      <c r="C91" s="44">
        <v>3</v>
      </c>
      <c r="D91" s="44">
        <f>10/12</f>
        <v>0.83333333333333337</v>
      </c>
      <c r="E91" s="44">
        <v>9</v>
      </c>
      <c r="F91" s="44">
        <v>6.5</v>
      </c>
      <c r="G91" s="44">
        <f>2/12</f>
        <v>0.16666666666666666</v>
      </c>
      <c r="H91" s="44">
        <f>10/12</f>
        <v>0.83333333333333337</v>
      </c>
      <c r="I91" s="44">
        <v>5.5</v>
      </c>
      <c r="J91" s="44">
        <v>3</v>
      </c>
      <c r="K91" s="44">
        <f>1/12</f>
        <v>8.3333333333333329E-2</v>
      </c>
      <c r="L91" s="44">
        <f>5/12</f>
        <v>0.41666666666666669</v>
      </c>
      <c r="M91" s="44">
        <v>9.5</v>
      </c>
      <c r="N91" s="44">
        <v>6.5</v>
      </c>
      <c r="O91" s="44">
        <v>3</v>
      </c>
    </row>
    <row r="92" spans="1:16" x14ac:dyDescent="0.25">
      <c r="A92" s="44">
        <v>0.9</v>
      </c>
      <c r="B92" s="44">
        <v>1</v>
      </c>
      <c r="C92" s="44">
        <v>1</v>
      </c>
      <c r="D92" s="44">
        <v>1</v>
      </c>
      <c r="E92" s="44">
        <v>1</v>
      </c>
      <c r="F92" s="44">
        <v>1</v>
      </c>
      <c r="G92" s="44">
        <v>0.5</v>
      </c>
      <c r="H92" s="44">
        <v>0.8</v>
      </c>
      <c r="I92" s="44">
        <v>0.9</v>
      </c>
      <c r="J92" s="44">
        <v>1</v>
      </c>
      <c r="K92" s="44">
        <v>0.6</v>
      </c>
      <c r="L92" s="44">
        <v>0.8</v>
      </c>
      <c r="M92" s="44">
        <v>0.95</v>
      </c>
      <c r="N92" s="44">
        <v>1</v>
      </c>
      <c r="O92" s="44">
        <v>0.5</v>
      </c>
    </row>
    <row r="93" spans="1:16" x14ac:dyDescent="0.25">
      <c r="A93" s="44">
        <f t="shared" ref="A93:O93" si="12">A90*A91*A92</f>
        <v>153.75</v>
      </c>
      <c r="B93" s="44">
        <f t="shared" si="12"/>
        <v>114400</v>
      </c>
      <c r="C93" s="44">
        <f t="shared" si="12"/>
        <v>3075</v>
      </c>
      <c r="D93" s="44">
        <f t="shared" si="12"/>
        <v>854.16666666666674</v>
      </c>
      <c r="E93" s="44">
        <f t="shared" si="12"/>
        <v>9225</v>
      </c>
      <c r="F93" s="44">
        <f t="shared" si="12"/>
        <v>539.5</v>
      </c>
      <c r="G93" s="44">
        <f t="shared" si="12"/>
        <v>6.9166666666666661</v>
      </c>
      <c r="H93" s="44">
        <f t="shared" si="12"/>
        <v>55.333333333333343</v>
      </c>
      <c r="I93" s="44">
        <f t="shared" si="12"/>
        <v>410.85</v>
      </c>
      <c r="J93" s="44">
        <f t="shared" si="12"/>
        <v>153</v>
      </c>
      <c r="K93" s="44">
        <f t="shared" si="12"/>
        <v>2.5499999999999998</v>
      </c>
      <c r="L93" s="44">
        <f t="shared" si="12"/>
        <v>17</v>
      </c>
      <c r="M93" s="44">
        <f t="shared" si="12"/>
        <v>460.27499999999998</v>
      </c>
      <c r="N93" s="44">
        <f t="shared" si="12"/>
        <v>266.5</v>
      </c>
      <c r="O93" s="44">
        <f t="shared" si="12"/>
        <v>61.5</v>
      </c>
      <c r="P93" s="44">
        <f>SUM(A93:O93)</f>
        <v>129681.34166666667</v>
      </c>
    </row>
    <row r="94" spans="1:16" x14ac:dyDescent="0.25">
      <c r="C94" s="44">
        <f>SUM(C93:E93)</f>
        <v>13154.166666666668</v>
      </c>
    </row>
    <row r="95" spans="1:16" x14ac:dyDescent="0.25">
      <c r="A95" s="44" t="s">
        <v>1</v>
      </c>
      <c r="B95" s="44" t="s">
        <v>0</v>
      </c>
      <c r="P95" s="44">
        <f>P93-P88</f>
        <v>6441.7416666666686</v>
      </c>
    </row>
    <row r="96" spans="1:16" x14ac:dyDescent="0.25">
      <c r="A96" s="43" t="s">
        <v>11</v>
      </c>
      <c r="B96" s="46">
        <f>810/(P96)</f>
        <v>1257.4239109764567</v>
      </c>
      <c r="C96" s="43" t="s">
        <v>62</v>
      </c>
      <c r="P96" s="44">
        <f>P95/10000</f>
        <v>0.64417416666666683</v>
      </c>
    </row>
  </sheetData>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F59A-F972-4B83-BF1B-C5D8C7D7881D}">
  <dimension ref="B3:E22"/>
  <sheetViews>
    <sheetView workbookViewId="0">
      <selection activeCell="C23" sqref="C23"/>
    </sheetView>
  </sheetViews>
  <sheetFormatPr baseColWidth="10" defaultRowHeight="15" x14ac:dyDescent="0.25"/>
  <sheetData>
    <row r="3" spans="2:5" x14ac:dyDescent="0.25">
      <c r="B3" t="s">
        <v>230</v>
      </c>
      <c r="C3" t="s">
        <v>231</v>
      </c>
    </row>
    <row r="4" spans="2:5" x14ac:dyDescent="0.25">
      <c r="B4">
        <v>1</v>
      </c>
      <c r="C4" s="51">
        <f>EXPERT!E15</f>
        <v>200000</v>
      </c>
      <c r="D4" s="51">
        <f>C4</f>
        <v>200000</v>
      </c>
      <c r="E4">
        <f>D4/100*EXPERT!$E$20</f>
        <v>12000</v>
      </c>
    </row>
    <row r="5" spans="2:5" x14ac:dyDescent="0.25">
      <c r="B5">
        <v>2</v>
      </c>
      <c r="C5" s="51">
        <f>D4-E4</f>
        <v>188000</v>
      </c>
      <c r="D5" s="51">
        <f t="shared" ref="D5:D22" si="0">C5</f>
        <v>188000</v>
      </c>
      <c r="E5">
        <f>D5/100*EXPERT!$E$20</f>
        <v>11280</v>
      </c>
    </row>
    <row r="6" spans="2:5" x14ac:dyDescent="0.25">
      <c r="B6">
        <v>3</v>
      </c>
      <c r="C6" s="51">
        <f t="shared" ref="C6:C21" si="1">D5-E5</f>
        <v>176720</v>
      </c>
      <c r="D6" s="51">
        <f t="shared" si="0"/>
        <v>176720</v>
      </c>
      <c r="E6">
        <f>D6/100*EXPERT!$E$20</f>
        <v>10603.2</v>
      </c>
    </row>
    <row r="7" spans="2:5" x14ac:dyDescent="0.25">
      <c r="B7">
        <v>4</v>
      </c>
      <c r="C7" s="51">
        <f t="shared" si="1"/>
        <v>166116.79999999999</v>
      </c>
      <c r="D7" s="51">
        <f t="shared" si="0"/>
        <v>166116.79999999999</v>
      </c>
      <c r="E7">
        <f>D7/100*EXPERT!$E$20</f>
        <v>9967.0079999999998</v>
      </c>
    </row>
    <row r="8" spans="2:5" x14ac:dyDescent="0.25">
      <c r="B8">
        <v>5</v>
      </c>
      <c r="C8" s="51">
        <f t="shared" si="1"/>
        <v>156149.79199999999</v>
      </c>
      <c r="D8" s="51">
        <f t="shared" si="0"/>
        <v>156149.79199999999</v>
      </c>
      <c r="E8">
        <f>D8/100*EXPERT!$E$20</f>
        <v>9368.9875199999988</v>
      </c>
    </row>
    <row r="9" spans="2:5" x14ac:dyDescent="0.25">
      <c r="B9">
        <v>6</v>
      </c>
      <c r="C9" s="51">
        <f t="shared" si="1"/>
        <v>146780.80447999999</v>
      </c>
      <c r="D9" s="51">
        <f t="shared" si="0"/>
        <v>146780.80447999999</v>
      </c>
      <c r="E9">
        <f>D9/100*EXPERT!$E$20</f>
        <v>8806.8482687999986</v>
      </c>
    </row>
    <row r="10" spans="2:5" x14ac:dyDescent="0.25">
      <c r="B10">
        <v>7</v>
      </c>
      <c r="C10" s="51">
        <f t="shared" si="1"/>
        <v>137973.95621119998</v>
      </c>
      <c r="D10" s="51">
        <f t="shared" si="0"/>
        <v>137973.95621119998</v>
      </c>
      <c r="E10">
        <f>D10/100*EXPERT!$E$20</f>
        <v>8278.4373726720005</v>
      </c>
    </row>
    <row r="11" spans="2:5" x14ac:dyDescent="0.25">
      <c r="B11">
        <v>8</v>
      </c>
      <c r="C11" s="51">
        <f t="shared" si="1"/>
        <v>129695.51883852799</v>
      </c>
      <c r="D11" s="51">
        <f t="shared" si="0"/>
        <v>129695.51883852799</v>
      </c>
      <c r="E11">
        <f>D11/100*EXPERT!$E$20</f>
        <v>7781.7311303116785</v>
      </c>
    </row>
    <row r="12" spans="2:5" x14ac:dyDescent="0.25">
      <c r="B12">
        <v>9</v>
      </c>
      <c r="C12" s="51">
        <f t="shared" si="1"/>
        <v>121913.78770821632</v>
      </c>
      <c r="D12" s="51">
        <f t="shared" si="0"/>
        <v>121913.78770821632</v>
      </c>
      <c r="E12">
        <f>D12/100*EXPERT!$E$20</f>
        <v>7314.8272624929796</v>
      </c>
    </row>
    <row r="13" spans="2:5" x14ac:dyDescent="0.25">
      <c r="B13">
        <v>10</v>
      </c>
      <c r="C13" s="51">
        <f t="shared" si="1"/>
        <v>114598.96044572334</v>
      </c>
      <c r="D13" s="51">
        <f t="shared" si="0"/>
        <v>114598.96044572334</v>
      </c>
      <c r="E13">
        <f>D13/100*EXPERT!$E$20</f>
        <v>6875.9376267434</v>
      </c>
    </row>
    <row r="14" spans="2:5" x14ac:dyDescent="0.25">
      <c r="B14">
        <v>11</v>
      </c>
      <c r="C14" s="51">
        <f t="shared" si="1"/>
        <v>107723.02281897994</v>
      </c>
      <c r="D14" s="51">
        <f t="shared" si="0"/>
        <v>107723.02281897994</v>
      </c>
      <c r="E14">
        <f>D14/100*EXPERT!$E$20</f>
        <v>6463.3813691387968</v>
      </c>
    </row>
    <row r="15" spans="2:5" x14ac:dyDescent="0.25">
      <c r="B15">
        <v>12</v>
      </c>
      <c r="C15" s="51">
        <f t="shared" si="1"/>
        <v>101259.64144984115</v>
      </c>
      <c r="D15" s="51">
        <f t="shared" si="0"/>
        <v>101259.64144984115</v>
      </c>
      <c r="E15">
        <f>D15/100*EXPERT!$E$20</f>
        <v>6075.5784869904692</v>
      </c>
    </row>
    <row r="16" spans="2:5" x14ac:dyDescent="0.25">
      <c r="B16">
        <v>13</v>
      </c>
      <c r="C16" s="51">
        <f t="shared" si="1"/>
        <v>95184.062962850672</v>
      </c>
      <c r="D16" s="51">
        <f t="shared" si="0"/>
        <v>95184.062962850672</v>
      </c>
      <c r="E16">
        <f>D16/100*EXPERT!$E$20</f>
        <v>5711.0437777710404</v>
      </c>
    </row>
    <row r="17" spans="2:5" x14ac:dyDescent="0.25">
      <c r="B17">
        <v>14</v>
      </c>
      <c r="C17" s="51">
        <f t="shared" si="1"/>
        <v>89473.019185079625</v>
      </c>
      <c r="D17" s="51">
        <f t="shared" si="0"/>
        <v>89473.019185079625</v>
      </c>
      <c r="E17">
        <f>D17/100*EXPERT!$E$20</f>
        <v>5368.381151104777</v>
      </c>
    </row>
    <row r="18" spans="2:5" x14ac:dyDescent="0.25">
      <c r="B18">
        <v>15</v>
      </c>
      <c r="C18" s="51">
        <f t="shared" si="1"/>
        <v>84104.638033974843</v>
      </c>
      <c r="D18" s="51">
        <f t="shared" si="0"/>
        <v>84104.638033974843</v>
      </c>
      <c r="E18">
        <f>D18/100*EXPERT!$E$20</f>
        <v>5046.2782820384909</v>
      </c>
    </row>
    <row r="19" spans="2:5" x14ac:dyDescent="0.25">
      <c r="B19">
        <v>16</v>
      </c>
      <c r="C19" s="51">
        <f t="shared" si="1"/>
        <v>79058.359751936354</v>
      </c>
      <c r="D19" s="51">
        <f t="shared" si="0"/>
        <v>79058.359751936354</v>
      </c>
      <c r="E19">
        <f>D19/100*EXPERT!$E$20</f>
        <v>4743.5015851161816</v>
      </c>
    </row>
    <row r="20" spans="2:5" x14ac:dyDescent="0.25">
      <c r="B20">
        <v>17</v>
      </c>
      <c r="C20" s="51">
        <f t="shared" si="1"/>
        <v>74314.858166820166</v>
      </c>
      <c r="D20" s="51">
        <f t="shared" si="0"/>
        <v>74314.858166820166</v>
      </c>
      <c r="E20">
        <f>D20/100*EXPERT!$E$20</f>
        <v>4458.8914900092104</v>
      </c>
    </row>
    <row r="21" spans="2:5" x14ac:dyDescent="0.25">
      <c r="B21">
        <v>18</v>
      </c>
      <c r="C21" s="51">
        <f t="shared" si="1"/>
        <v>69855.96667681096</v>
      </c>
      <c r="D21" s="51">
        <f t="shared" si="0"/>
        <v>69855.96667681096</v>
      </c>
      <c r="E21">
        <f>D21/100*EXPERT!$E$20</f>
        <v>4191.3580006086577</v>
      </c>
    </row>
    <row r="22" spans="2:5" x14ac:dyDescent="0.25">
      <c r="B22" t="s">
        <v>233</v>
      </c>
      <c r="C22" s="51">
        <f>SUM(C4:C21)</f>
        <v>2238923.1887299614</v>
      </c>
      <c r="D22" s="51">
        <f t="shared" si="0"/>
        <v>2238923.1887299614</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6"/>
  <sheetViews>
    <sheetView topLeftCell="A45" workbookViewId="0">
      <selection activeCell="B27" sqref="B27"/>
    </sheetView>
  </sheetViews>
  <sheetFormatPr baseColWidth="10" defaultColWidth="13.5703125" defaultRowHeight="15" x14ac:dyDescent="0.25"/>
  <cols>
    <col min="1" max="1" width="47.140625" style="44" customWidth="1"/>
    <col min="2" max="16384" width="13.5703125" style="44"/>
  </cols>
  <sheetData>
    <row r="1" spans="1:26" x14ac:dyDescent="0.25">
      <c r="A1" s="43" t="s">
        <v>12</v>
      </c>
      <c r="B1" s="43" t="s">
        <v>13</v>
      </c>
      <c r="T1" s="44" t="s">
        <v>169</v>
      </c>
    </row>
    <row r="2" spans="1:26" x14ac:dyDescent="0.25">
      <c r="A2" s="45" t="s">
        <v>2</v>
      </c>
      <c r="B2" s="44">
        <v>9860</v>
      </c>
      <c r="F2" s="44">
        <v>83</v>
      </c>
      <c r="G2" s="44">
        <v>83</v>
      </c>
      <c r="H2" s="44">
        <v>83</v>
      </c>
      <c r="I2" s="44">
        <v>83</v>
      </c>
      <c r="N2" s="44">
        <v>57</v>
      </c>
      <c r="O2" s="44">
        <v>57</v>
      </c>
      <c r="R2" s="44">
        <f>O2/100/2</f>
        <v>0.28499999999999998</v>
      </c>
      <c r="T2" s="46" t="s">
        <v>143</v>
      </c>
    </row>
    <row r="3" spans="1:26" x14ac:dyDescent="0.25">
      <c r="A3" s="44" t="s">
        <v>172</v>
      </c>
      <c r="B3" s="44">
        <v>13</v>
      </c>
      <c r="F3" s="44">
        <v>6.5</v>
      </c>
      <c r="G3" s="44">
        <f>2/12</f>
        <v>0.16666666666666666</v>
      </c>
      <c r="H3" s="44">
        <f>10/12</f>
        <v>0.83333333333333337</v>
      </c>
      <c r="I3" s="44">
        <v>5.5</v>
      </c>
      <c r="N3" s="44">
        <v>6.5</v>
      </c>
      <c r="O3" s="44">
        <v>3</v>
      </c>
    </row>
    <row r="4" spans="1:26" x14ac:dyDescent="0.25">
      <c r="A4" s="44" t="s">
        <v>159</v>
      </c>
      <c r="B4" s="44">
        <v>1</v>
      </c>
      <c r="F4" s="44">
        <v>1</v>
      </c>
      <c r="G4" s="44">
        <v>0.5</v>
      </c>
      <c r="H4" s="44">
        <v>0.8</v>
      </c>
      <c r="I4" s="44">
        <v>0.9</v>
      </c>
      <c r="N4" s="44">
        <v>1</v>
      </c>
      <c r="O4" s="44">
        <v>0.5</v>
      </c>
      <c r="T4" s="44" t="s">
        <v>147</v>
      </c>
    </row>
    <row r="5" spans="1:26" x14ac:dyDescent="0.25">
      <c r="A5" s="44" t="s">
        <v>173</v>
      </c>
      <c r="B5" s="44">
        <f>B2*B3*B4</f>
        <v>128180</v>
      </c>
      <c r="F5" s="44">
        <f t="shared" ref="F5:I5" si="0">F2*F3*F4</f>
        <v>539.5</v>
      </c>
      <c r="G5" s="44">
        <f t="shared" si="0"/>
        <v>6.9166666666666661</v>
      </c>
      <c r="H5" s="44">
        <f t="shared" si="0"/>
        <v>55.333333333333343</v>
      </c>
      <c r="I5" s="44">
        <f t="shared" si="0"/>
        <v>410.85</v>
      </c>
      <c r="L5" s="44" t="s">
        <v>0</v>
      </c>
      <c r="N5" s="44">
        <f>N2*N3*N4</f>
        <v>370.5</v>
      </c>
      <c r="O5" s="44">
        <f>O2*O3*O4</f>
        <v>85.5</v>
      </c>
      <c r="P5" s="48">
        <f>SUM(B5:O5)</f>
        <v>129648.6</v>
      </c>
      <c r="R5" s="44">
        <f>O2*$Z$14</f>
        <v>205200000</v>
      </c>
      <c r="T5" s="44" t="s">
        <v>146</v>
      </c>
    </row>
    <row r="6" spans="1:26" x14ac:dyDescent="0.25">
      <c r="T6" s="44" t="s">
        <v>144</v>
      </c>
    </row>
    <row r="7" spans="1:26" x14ac:dyDescent="0.25">
      <c r="A7" s="44" t="s">
        <v>174</v>
      </c>
      <c r="B7" s="44">
        <v>8800</v>
      </c>
      <c r="C7" s="44">
        <v>1025</v>
      </c>
      <c r="D7" s="44">
        <v>1025</v>
      </c>
      <c r="E7" s="44">
        <v>1025</v>
      </c>
      <c r="F7" s="44">
        <v>83</v>
      </c>
      <c r="G7" s="44">
        <v>83</v>
      </c>
      <c r="H7" s="44">
        <v>83</v>
      </c>
      <c r="I7" s="44">
        <v>83</v>
      </c>
      <c r="J7" s="44">
        <v>51</v>
      </c>
      <c r="K7" s="44">
        <v>51</v>
      </c>
      <c r="L7" s="44">
        <v>51</v>
      </c>
      <c r="M7" s="44">
        <v>51</v>
      </c>
      <c r="N7" s="44">
        <v>41</v>
      </c>
      <c r="O7" s="44">
        <v>41</v>
      </c>
      <c r="T7" s="44" t="s">
        <v>145</v>
      </c>
    </row>
    <row r="8" spans="1:26" x14ac:dyDescent="0.25">
      <c r="A8" s="44" t="s">
        <v>172</v>
      </c>
      <c r="B8" s="44">
        <v>13</v>
      </c>
      <c r="C8" s="44">
        <v>3</v>
      </c>
      <c r="D8" s="44">
        <v>0.5</v>
      </c>
      <c r="E8" s="44">
        <v>9.5</v>
      </c>
      <c r="F8" s="44">
        <v>6.5</v>
      </c>
      <c r="G8" s="44">
        <f>2/12</f>
        <v>0.16666666666666666</v>
      </c>
      <c r="H8" s="44">
        <f>10/12</f>
        <v>0.83333333333333337</v>
      </c>
      <c r="I8" s="44">
        <v>5.5</v>
      </c>
      <c r="J8" s="44">
        <v>3</v>
      </c>
      <c r="K8" s="44">
        <f>1/12</f>
        <v>8.3333333333333329E-2</v>
      </c>
      <c r="L8" s="44">
        <f>5/12</f>
        <v>0.41666666666666669</v>
      </c>
      <c r="M8" s="44">
        <v>9.5</v>
      </c>
      <c r="N8" s="44">
        <v>6.5</v>
      </c>
      <c r="O8" s="44">
        <v>3</v>
      </c>
      <c r="T8" s="44" t="s">
        <v>148</v>
      </c>
    </row>
    <row r="9" spans="1:26" x14ac:dyDescent="0.25">
      <c r="A9" s="44" t="s">
        <v>159</v>
      </c>
      <c r="B9" s="44">
        <v>1</v>
      </c>
      <c r="C9" s="44">
        <v>1</v>
      </c>
      <c r="D9" s="44">
        <v>0.9</v>
      </c>
      <c r="E9" s="44">
        <v>1</v>
      </c>
      <c r="F9" s="44">
        <v>1</v>
      </c>
      <c r="G9" s="44">
        <v>0.5</v>
      </c>
      <c r="H9" s="44">
        <v>0.8</v>
      </c>
      <c r="I9" s="44">
        <v>0.9</v>
      </c>
      <c r="J9" s="44">
        <v>1</v>
      </c>
      <c r="K9" s="44">
        <v>0.6</v>
      </c>
      <c r="L9" s="44">
        <v>0.8</v>
      </c>
      <c r="M9" s="44">
        <v>0.95</v>
      </c>
      <c r="N9" s="44">
        <v>1</v>
      </c>
      <c r="O9" s="44">
        <v>0.5</v>
      </c>
    </row>
    <row r="10" spans="1:26" x14ac:dyDescent="0.25">
      <c r="A10" s="44" t="s">
        <v>173</v>
      </c>
      <c r="B10" s="44">
        <f>B7*B8*B9</f>
        <v>114400</v>
      </c>
      <c r="C10" s="44">
        <f t="shared" ref="C10:O10" si="1">C7*C8*C9</f>
        <v>3075</v>
      </c>
      <c r="D10" s="44">
        <f t="shared" si="1"/>
        <v>461.25</v>
      </c>
      <c r="E10" s="44">
        <f t="shared" si="1"/>
        <v>9737.5</v>
      </c>
      <c r="F10" s="44">
        <f>F7*F8*F9</f>
        <v>539.5</v>
      </c>
      <c r="G10" s="44">
        <f>G7*G8*G9</f>
        <v>6.9166666666666661</v>
      </c>
      <c r="H10" s="44">
        <f>H7*H8*H9</f>
        <v>55.333333333333343</v>
      </c>
      <c r="I10" s="44">
        <f>I7*I8*I9</f>
        <v>410.85</v>
      </c>
      <c r="J10" s="44">
        <f t="shared" si="1"/>
        <v>153</v>
      </c>
      <c r="K10" s="44">
        <f t="shared" si="1"/>
        <v>2.5499999999999998</v>
      </c>
      <c r="L10" s="44">
        <f t="shared" si="1"/>
        <v>17</v>
      </c>
      <c r="M10" s="44">
        <f t="shared" si="1"/>
        <v>460.27499999999998</v>
      </c>
      <c r="N10" s="44">
        <f t="shared" si="1"/>
        <v>266.5</v>
      </c>
      <c r="O10" s="44">
        <f t="shared" si="1"/>
        <v>61.5</v>
      </c>
      <c r="P10" s="48">
        <f>SUM(B10:O10)</f>
        <v>129647.175</v>
      </c>
      <c r="R10" s="44">
        <f>(O2-R2)*$Z$14</f>
        <v>204174000</v>
      </c>
      <c r="T10" s="46" t="s">
        <v>149</v>
      </c>
    </row>
    <row r="12" spans="1:26" x14ac:dyDescent="0.25">
      <c r="A12" s="43" t="s">
        <v>11</v>
      </c>
      <c r="B12" s="46">
        <f>810/(P12/10000)</f>
        <v>-5684210.5263041798</v>
      </c>
      <c r="C12" s="43" t="s">
        <v>63</v>
      </c>
      <c r="P12" s="49">
        <f>P10-P5</f>
        <v>-1.4250000000029104</v>
      </c>
      <c r="R12" s="44">
        <f>R10-R5</f>
        <v>-1026000</v>
      </c>
      <c r="T12" s="44" t="s">
        <v>150</v>
      </c>
    </row>
    <row r="13" spans="1:26" x14ac:dyDescent="0.25">
      <c r="A13" s="43"/>
      <c r="B13" s="46">
        <f>(810+(R13))/(P12/10000)</f>
        <v>-4964210.5263056504</v>
      </c>
      <c r="C13" s="43"/>
      <c r="P13" s="50">
        <f>P12/10000</f>
        <v>-1.4250000000029105E-4</v>
      </c>
      <c r="R13" s="44">
        <f>R12/10000</f>
        <v>-102.6</v>
      </c>
    </row>
    <row r="14" spans="1:26" x14ac:dyDescent="0.25">
      <c r="T14" s="44" t="s">
        <v>176</v>
      </c>
      <c r="X14" s="44">
        <v>18</v>
      </c>
      <c r="Y14" s="44">
        <v>200000</v>
      </c>
      <c r="Z14" s="44">
        <f>X14*Y14</f>
        <v>3600000</v>
      </c>
    </row>
    <row r="15" spans="1:26" x14ac:dyDescent="0.25">
      <c r="A15" s="43" t="s">
        <v>9</v>
      </c>
      <c r="T15" s="44" t="s">
        <v>175</v>
      </c>
      <c r="X15" s="44">
        <v>16</v>
      </c>
      <c r="Z15" s="44">
        <f>Z14*X15</f>
        <v>57600000</v>
      </c>
    </row>
    <row r="16" spans="1:26" x14ac:dyDescent="0.25">
      <c r="A16" s="45" t="s">
        <v>3</v>
      </c>
      <c r="B16" s="44">
        <v>9860</v>
      </c>
      <c r="F16" s="44">
        <v>83</v>
      </c>
      <c r="G16" s="44">
        <v>83</v>
      </c>
      <c r="H16" s="44">
        <v>83</v>
      </c>
      <c r="I16" s="44">
        <v>83</v>
      </c>
      <c r="N16" s="44">
        <v>57</v>
      </c>
      <c r="O16" s="44">
        <v>57</v>
      </c>
    </row>
    <row r="17" spans="1:25" x14ac:dyDescent="0.25">
      <c r="B17" s="44">
        <v>13</v>
      </c>
      <c r="F17" s="44">
        <v>6.5</v>
      </c>
      <c r="G17" s="44">
        <f>2/12</f>
        <v>0.16666666666666666</v>
      </c>
      <c r="H17" s="44">
        <f>10/12</f>
        <v>0.83333333333333337</v>
      </c>
      <c r="I17" s="44">
        <v>5.5</v>
      </c>
      <c r="N17" s="44">
        <v>6.5</v>
      </c>
      <c r="O17" s="44">
        <v>3</v>
      </c>
      <c r="T17" s="46" t="s">
        <v>177</v>
      </c>
    </row>
    <row r="18" spans="1:25" x14ac:dyDescent="0.25">
      <c r="B18" s="44">
        <v>1</v>
      </c>
      <c r="F18" s="44">
        <v>1</v>
      </c>
      <c r="G18" s="44">
        <v>0.5</v>
      </c>
      <c r="H18" s="44">
        <v>0.8</v>
      </c>
      <c r="I18" s="44">
        <v>0.9</v>
      </c>
      <c r="N18" s="44">
        <v>1</v>
      </c>
      <c r="O18" s="44">
        <v>0.5</v>
      </c>
      <c r="T18" s="44">
        <v>810</v>
      </c>
      <c r="U18" s="44">
        <v>10000</v>
      </c>
      <c r="V18" s="44">
        <f>T18*U18</f>
        <v>8100000</v>
      </c>
    </row>
    <row r="19" spans="1:25" x14ac:dyDescent="0.25">
      <c r="B19" s="44">
        <f t="shared" ref="B19" si="2">B16*B17*B18</f>
        <v>128180</v>
      </c>
      <c r="F19" s="44">
        <f>F16*F17*F18</f>
        <v>539.5</v>
      </c>
      <c r="G19" s="44">
        <f>G16*G17*G18</f>
        <v>6.9166666666666661</v>
      </c>
      <c r="H19" s="44">
        <f>H16*H17*H18</f>
        <v>55.333333333333343</v>
      </c>
      <c r="I19" s="44">
        <f>I16*I17*I18</f>
        <v>410.85</v>
      </c>
      <c r="N19" s="44">
        <f>N16*N17*N18</f>
        <v>370.5</v>
      </c>
      <c r="O19" s="44">
        <f>O16*O17*O18</f>
        <v>85.5</v>
      </c>
      <c r="P19" s="44">
        <f>SUM(A19:O19)</f>
        <v>129648.6</v>
      </c>
    </row>
    <row r="20" spans="1:25" x14ac:dyDescent="0.25">
      <c r="T20" s="46" t="s">
        <v>151</v>
      </c>
    </row>
    <row r="21" spans="1:25" x14ac:dyDescent="0.25">
      <c r="A21" s="44">
        <v>1025</v>
      </c>
      <c r="B21" s="44">
        <v>8800</v>
      </c>
      <c r="C21" s="44">
        <v>1025</v>
      </c>
      <c r="D21" s="44">
        <v>1025</v>
      </c>
      <c r="E21" s="44">
        <v>1025</v>
      </c>
      <c r="F21" s="44">
        <v>83</v>
      </c>
      <c r="G21" s="44">
        <v>83</v>
      </c>
      <c r="H21" s="44">
        <v>83</v>
      </c>
      <c r="I21" s="44">
        <v>83</v>
      </c>
      <c r="J21" s="44">
        <v>51</v>
      </c>
      <c r="K21" s="44">
        <v>51</v>
      </c>
      <c r="L21" s="44">
        <v>51</v>
      </c>
      <c r="M21" s="44">
        <v>51</v>
      </c>
      <c r="N21" s="44">
        <v>41</v>
      </c>
      <c r="O21" s="44">
        <v>41</v>
      </c>
      <c r="T21" s="44" t="s">
        <v>152</v>
      </c>
      <c r="V21" s="44">
        <f>V18</f>
        <v>8100000</v>
      </c>
      <c r="X21" s="44" t="s">
        <v>178</v>
      </c>
      <c r="Y21" s="44">
        <f>V21</f>
        <v>8100000</v>
      </c>
    </row>
    <row r="22" spans="1:25" x14ac:dyDescent="0.25">
      <c r="A22" s="44">
        <f>2/12</f>
        <v>0.16666666666666666</v>
      </c>
      <c r="B22" s="44">
        <v>13</v>
      </c>
      <c r="C22" s="44">
        <v>3</v>
      </c>
      <c r="D22" s="44">
        <f>10/12</f>
        <v>0.83333333333333337</v>
      </c>
      <c r="E22" s="44">
        <v>9</v>
      </c>
      <c r="F22" s="44">
        <v>6.5</v>
      </c>
      <c r="G22" s="44">
        <f>2/12</f>
        <v>0.16666666666666666</v>
      </c>
      <c r="H22" s="44">
        <f>10/12</f>
        <v>0.83333333333333337</v>
      </c>
      <c r="I22" s="44">
        <v>5.5</v>
      </c>
      <c r="J22" s="44">
        <v>3</v>
      </c>
      <c r="K22" s="44">
        <f>1/12</f>
        <v>8.3333333333333329E-2</v>
      </c>
      <c r="L22" s="44">
        <f>5/12</f>
        <v>0.41666666666666669</v>
      </c>
      <c r="M22" s="44">
        <v>9.5</v>
      </c>
      <c r="N22" s="44">
        <v>6.5</v>
      </c>
      <c r="O22" s="44">
        <v>3</v>
      </c>
      <c r="T22" s="44" t="s">
        <v>153</v>
      </c>
      <c r="V22" s="44">
        <f>R12</f>
        <v>-1026000</v>
      </c>
      <c r="X22" s="44" t="s">
        <v>179</v>
      </c>
      <c r="Y22" s="44">
        <f>X14*X15</f>
        <v>288</v>
      </c>
    </row>
    <row r="23" spans="1:25" x14ac:dyDescent="0.25">
      <c r="A23" s="44">
        <v>0.9</v>
      </c>
      <c r="B23" s="44">
        <v>1</v>
      </c>
      <c r="C23" s="44">
        <v>1</v>
      </c>
      <c r="D23" s="44">
        <v>1</v>
      </c>
      <c r="E23" s="44">
        <v>1</v>
      </c>
      <c r="F23" s="44">
        <v>1</v>
      </c>
      <c r="G23" s="44">
        <v>0.5</v>
      </c>
      <c r="H23" s="44">
        <v>0.8</v>
      </c>
      <c r="I23" s="44">
        <v>0.9</v>
      </c>
      <c r="J23" s="44">
        <v>1</v>
      </c>
      <c r="K23" s="44">
        <v>0.6</v>
      </c>
      <c r="L23" s="44">
        <v>0.8</v>
      </c>
      <c r="M23" s="44">
        <v>0.95</v>
      </c>
      <c r="N23" s="44">
        <v>1</v>
      </c>
      <c r="O23" s="44">
        <v>0.5</v>
      </c>
      <c r="T23" s="44" t="s">
        <v>154</v>
      </c>
      <c r="V23" s="44">
        <f>SUM(V21:V22)</f>
        <v>7074000</v>
      </c>
      <c r="X23" s="44" t="s">
        <v>181</v>
      </c>
      <c r="Y23" s="44">
        <v>200000</v>
      </c>
    </row>
    <row r="24" spans="1:25" x14ac:dyDescent="0.25">
      <c r="A24" s="44">
        <f t="shared" ref="A24:O24" si="3">A21*A22*A23</f>
        <v>153.75</v>
      </c>
      <c r="B24" s="44">
        <f t="shared" si="3"/>
        <v>114400</v>
      </c>
      <c r="C24" s="44">
        <f t="shared" si="3"/>
        <v>3075</v>
      </c>
      <c r="D24" s="44">
        <f t="shared" si="3"/>
        <v>854.16666666666674</v>
      </c>
      <c r="E24" s="44">
        <f t="shared" si="3"/>
        <v>9225</v>
      </c>
      <c r="F24" s="44">
        <f t="shared" si="3"/>
        <v>539.5</v>
      </c>
      <c r="G24" s="44">
        <f t="shared" si="3"/>
        <v>6.9166666666666661</v>
      </c>
      <c r="H24" s="44">
        <f t="shared" si="3"/>
        <v>55.333333333333343</v>
      </c>
      <c r="I24" s="44">
        <f t="shared" si="3"/>
        <v>410.85</v>
      </c>
      <c r="J24" s="44">
        <f t="shared" si="3"/>
        <v>153</v>
      </c>
      <c r="K24" s="44">
        <f t="shared" si="3"/>
        <v>2.5499999999999998</v>
      </c>
      <c r="L24" s="44">
        <f t="shared" si="3"/>
        <v>17</v>
      </c>
      <c r="M24" s="44">
        <f t="shared" si="3"/>
        <v>460.27499999999998</v>
      </c>
      <c r="N24" s="44">
        <f t="shared" si="3"/>
        <v>266.5</v>
      </c>
      <c r="O24" s="44">
        <f t="shared" si="3"/>
        <v>61.5</v>
      </c>
      <c r="P24" s="44">
        <f>SUM(A24:O24)</f>
        <v>129681.34166666667</v>
      </c>
      <c r="T24" s="44" t="s">
        <v>155</v>
      </c>
      <c r="V24" s="44">
        <f>V23/10000</f>
        <v>707.4</v>
      </c>
      <c r="X24" s="44" t="s">
        <v>180</v>
      </c>
      <c r="Y24" s="44">
        <f>Y22*Y23</f>
        <v>57600000</v>
      </c>
    </row>
    <row r="25" spans="1:25" x14ac:dyDescent="0.25">
      <c r="C25" s="44">
        <f>SUM(C24:E24)</f>
        <v>13154.166666666668</v>
      </c>
      <c r="T25" s="44" t="s">
        <v>182</v>
      </c>
      <c r="Y25" s="44">
        <f>Y24-Y21</f>
        <v>49500000</v>
      </c>
    </row>
    <row r="26" spans="1:25" x14ac:dyDescent="0.25">
      <c r="A26" s="44" t="s">
        <v>1</v>
      </c>
      <c r="B26" s="44" t="s">
        <v>0</v>
      </c>
      <c r="P26" s="44">
        <f>P24-P19</f>
        <v>32.741666666668607</v>
      </c>
    </row>
    <row r="27" spans="1:25" x14ac:dyDescent="0.25">
      <c r="A27" s="43" t="s">
        <v>11</v>
      </c>
      <c r="B27" s="46">
        <f>810/(P27)</f>
        <v>247391.19368794665</v>
      </c>
      <c r="C27" s="43" t="s">
        <v>62</v>
      </c>
      <c r="P27" s="50">
        <f>P26/10000</f>
        <v>3.2741666666668608E-3</v>
      </c>
      <c r="T27" s="44" t="s">
        <v>156</v>
      </c>
      <c r="V27" s="44" t="s">
        <v>158</v>
      </c>
      <c r="W27" s="44" t="s">
        <v>159</v>
      </c>
      <c r="Y27" s="44" t="s">
        <v>0</v>
      </c>
    </row>
    <row r="28" spans="1:25" x14ac:dyDescent="0.25">
      <c r="A28" s="44" t="s">
        <v>5</v>
      </c>
      <c r="B28" s="44">
        <f>B19</f>
        <v>128180</v>
      </c>
      <c r="C28" s="44">
        <f>B35+C35</f>
        <v>126898.2</v>
      </c>
      <c r="D28" s="44">
        <f>C28-B28</f>
        <v>-1281.8000000000029</v>
      </c>
      <c r="E28" s="44">
        <f>D28-32.74</f>
        <v>-1314.5400000000029</v>
      </c>
      <c r="T28" s="44" t="s">
        <v>157</v>
      </c>
      <c r="V28" s="44">
        <v>8800</v>
      </c>
      <c r="W28" s="44">
        <v>1</v>
      </c>
      <c r="Y28" s="44" t="s">
        <v>0</v>
      </c>
    </row>
    <row r="29" spans="1:25" x14ac:dyDescent="0.25">
      <c r="B29" s="46">
        <f>V24/P27</f>
        <v>216054.97582080672</v>
      </c>
      <c r="T29" s="44" t="s">
        <v>160</v>
      </c>
      <c r="V29" s="44">
        <v>1025</v>
      </c>
      <c r="Y29" s="44" t="s">
        <v>0</v>
      </c>
    </row>
    <row r="30" spans="1:25" x14ac:dyDescent="0.25">
      <c r="U30" s="44" t="s">
        <v>161</v>
      </c>
      <c r="V30" s="44">
        <v>3</v>
      </c>
      <c r="W30" s="44" t="s">
        <v>159</v>
      </c>
      <c r="X30" s="44">
        <v>1</v>
      </c>
      <c r="Y30" s="44">
        <f>V29*V30</f>
        <v>3075</v>
      </c>
    </row>
    <row r="31" spans="1:25" x14ac:dyDescent="0.25">
      <c r="A31" s="43" t="s">
        <v>10</v>
      </c>
      <c r="U31" s="44" t="s">
        <v>161</v>
      </c>
      <c r="V31" s="44">
        <v>0.5</v>
      </c>
      <c r="W31" s="44" t="s">
        <v>159</v>
      </c>
      <c r="X31" s="44">
        <v>0.9</v>
      </c>
      <c r="Y31" s="44">
        <f>V29*V31*X31</f>
        <v>461.25</v>
      </c>
    </row>
    <row r="32" spans="1:25" x14ac:dyDescent="0.25">
      <c r="A32" s="45" t="s">
        <v>4</v>
      </c>
      <c r="B32" s="44">
        <v>8874</v>
      </c>
      <c r="C32" s="44">
        <v>986</v>
      </c>
      <c r="D32" s="44">
        <v>83</v>
      </c>
      <c r="E32" s="44">
        <v>83</v>
      </c>
      <c r="F32" s="44">
        <v>83</v>
      </c>
      <c r="G32" s="44">
        <v>83</v>
      </c>
      <c r="H32" s="44">
        <v>57</v>
      </c>
      <c r="I32" s="44">
        <v>57</v>
      </c>
      <c r="U32" s="44" t="s">
        <v>161</v>
      </c>
      <c r="V32" s="44">
        <v>9</v>
      </c>
      <c r="W32" s="44" t="s">
        <v>159</v>
      </c>
      <c r="X32" s="44">
        <v>1</v>
      </c>
      <c r="Y32" s="44">
        <f>V29*V32*X32</f>
        <v>9225</v>
      </c>
    </row>
    <row r="33" spans="1:23" x14ac:dyDescent="0.25">
      <c r="B33" s="44">
        <v>13</v>
      </c>
      <c r="C33" s="44">
        <v>13</v>
      </c>
      <c r="D33" s="44">
        <v>6.5</v>
      </c>
      <c r="E33" s="44">
        <f>2/12</f>
        <v>0.16666666666666666</v>
      </c>
      <c r="F33" s="44">
        <f>10/12</f>
        <v>0.83333333333333337</v>
      </c>
      <c r="G33" s="44">
        <v>5.5</v>
      </c>
      <c r="H33" s="44">
        <v>6.5</v>
      </c>
      <c r="I33" s="44">
        <v>3</v>
      </c>
      <c r="U33" s="44" t="s">
        <v>161</v>
      </c>
      <c r="W33" s="44" t="s">
        <v>159</v>
      </c>
    </row>
    <row r="34" spans="1:23" x14ac:dyDescent="0.25">
      <c r="B34" s="44">
        <v>1</v>
      </c>
      <c r="C34" s="44">
        <v>0.9</v>
      </c>
      <c r="D34" s="44">
        <v>1</v>
      </c>
      <c r="E34" s="44">
        <v>0.5</v>
      </c>
      <c r="F34" s="44">
        <v>0.8</v>
      </c>
      <c r="G34" s="44">
        <v>0.9</v>
      </c>
      <c r="H34" s="44">
        <v>1</v>
      </c>
      <c r="I34" s="44">
        <v>0.5</v>
      </c>
    </row>
    <row r="35" spans="1:23" x14ac:dyDescent="0.25">
      <c r="B35" s="44">
        <f t="shared" ref="B35:I35" si="4">B32*B33*B34</f>
        <v>115362</v>
      </c>
      <c r="C35" s="44">
        <f t="shared" si="4"/>
        <v>11536.2</v>
      </c>
      <c r="D35" s="44">
        <f t="shared" si="4"/>
        <v>539.5</v>
      </c>
      <c r="E35" s="44">
        <f t="shared" si="4"/>
        <v>6.9166666666666661</v>
      </c>
      <c r="F35" s="44">
        <f t="shared" si="4"/>
        <v>55.333333333333343</v>
      </c>
      <c r="G35" s="44">
        <f t="shared" si="4"/>
        <v>410.85</v>
      </c>
      <c r="H35" s="44">
        <f t="shared" si="4"/>
        <v>370.5</v>
      </c>
      <c r="I35" s="44">
        <f t="shared" si="4"/>
        <v>85.5</v>
      </c>
      <c r="J35" s="44">
        <f>SUM(B35:I35)</f>
        <v>128366.8</v>
      </c>
      <c r="P35" s="44">
        <f>J35</f>
        <v>128366.8</v>
      </c>
      <c r="Q35" s="44" t="s">
        <v>0</v>
      </c>
    </row>
    <row r="37" spans="1:23" x14ac:dyDescent="0.25">
      <c r="A37" s="44">
        <v>1025</v>
      </c>
      <c r="B37" s="44">
        <v>8800</v>
      </c>
      <c r="C37" s="44">
        <v>1025</v>
      </c>
      <c r="D37" s="44">
        <v>1025</v>
      </c>
      <c r="E37" s="44">
        <v>1025</v>
      </c>
      <c r="F37" s="44">
        <v>83</v>
      </c>
      <c r="G37" s="44">
        <v>83</v>
      </c>
      <c r="H37" s="44">
        <v>83</v>
      </c>
      <c r="I37" s="44">
        <v>83</v>
      </c>
      <c r="J37" s="44">
        <v>51</v>
      </c>
      <c r="K37" s="44">
        <v>51</v>
      </c>
      <c r="L37" s="44">
        <v>51</v>
      </c>
      <c r="M37" s="44">
        <v>51</v>
      </c>
      <c r="N37" s="44">
        <v>41</v>
      </c>
      <c r="O37" s="44">
        <v>41</v>
      </c>
    </row>
    <row r="38" spans="1:23" x14ac:dyDescent="0.25">
      <c r="A38" s="44">
        <f>2/12</f>
        <v>0.16666666666666666</v>
      </c>
      <c r="B38" s="44">
        <v>13</v>
      </c>
      <c r="C38" s="44">
        <v>3</v>
      </c>
      <c r="D38" s="44">
        <f>10/12</f>
        <v>0.83333333333333337</v>
      </c>
      <c r="E38" s="44">
        <v>9</v>
      </c>
      <c r="F38" s="44">
        <v>6.5</v>
      </c>
      <c r="G38" s="44">
        <f>2/12</f>
        <v>0.16666666666666666</v>
      </c>
      <c r="H38" s="44">
        <f>10/12</f>
        <v>0.83333333333333337</v>
      </c>
      <c r="I38" s="44">
        <v>5.5</v>
      </c>
      <c r="J38" s="44">
        <v>3</v>
      </c>
      <c r="K38" s="44">
        <f>1/12</f>
        <v>8.3333333333333329E-2</v>
      </c>
      <c r="L38" s="44">
        <f>5/12</f>
        <v>0.41666666666666669</v>
      </c>
      <c r="M38" s="44">
        <v>9.5</v>
      </c>
      <c r="N38" s="44">
        <v>6.5</v>
      </c>
      <c r="O38" s="44">
        <v>3</v>
      </c>
    </row>
    <row r="39" spans="1:23" x14ac:dyDescent="0.25">
      <c r="A39" s="44">
        <v>0.9</v>
      </c>
      <c r="B39" s="44">
        <v>1</v>
      </c>
      <c r="C39" s="44">
        <v>1</v>
      </c>
      <c r="D39" s="44">
        <v>1</v>
      </c>
      <c r="E39" s="44">
        <v>1</v>
      </c>
      <c r="F39" s="44">
        <v>1</v>
      </c>
      <c r="G39" s="44">
        <v>0.5</v>
      </c>
      <c r="H39" s="44">
        <v>0.8</v>
      </c>
      <c r="I39" s="44">
        <v>0.9</v>
      </c>
      <c r="J39" s="44">
        <v>1</v>
      </c>
      <c r="K39" s="44">
        <v>0.6</v>
      </c>
      <c r="L39" s="44">
        <v>0.8</v>
      </c>
      <c r="M39" s="44">
        <v>0.95</v>
      </c>
      <c r="N39" s="44">
        <v>1</v>
      </c>
      <c r="O39" s="44">
        <v>0.5</v>
      </c>
    </row>
    <row r="40" spans="1:23" x14ac:dyDescent="0.25">
      <c r="A40" s="44">
        <f t="shared" ref="A40:O40" si="5">A37*A38*A39</f>
        <v>153.75</v>
      </c>
      <c r="B40" s="44">
        <f t="shared" si="5"/>
        <v>114400</v>
      </c>
      <c r="C40" s="44">
        <f t="shared" si="5"/>
        <v>3075</v>
      </c>
      <c r="D40" s="44">
        <f t="shared" si="5"/>
        <v>854.16666666666674</v>
      </c>
      <c r="E40" s="44">
        <f t="shared" si="5"/>
        <v>9225</v>
      </c>
      <c r="F40" s="44">
        <f t="shared" si="5"/>
        <v>539.5</v>
      </c>
      <c r="G40" s="44">
        <f t="shared" si="5"/>
        <v>6.9166666666666661</v>
      </c>
      <c r="H40" s="44">
        <f t="shared" si="5"/>
        <v>55.333333333333343</v>
      </c>
      <c r="I40" s="44">
        <f t="shared" si="5"/>
        <v>410.85</v>
      </c>
      <c r="J40" s="44">
        <f t="shared" si="5"/>
        <v>153</v>
      </c>
      <c r="K40" s="44">
        <f t="shared" si="5"/>
        <v>2.5499999999999998</v>
      </c>
      <c r="L40" s="44">
        <f t="shared" si="5"/>
        <v>17</v>
      </c>
      <c r="M40" s="44">
        <f t="shared" si="5"/>
        <v>460.27499999999998</v>
      </c>
      <c r="N40" s="44">
        <f t="shared" si="5"/>
        <v>266.5</v>
      </c>
      <c r="O40" s="44">
        <f t="shared" si="5"/>
        <v>61.5</v>
      </c>
      <c r="P40" s="44">
        <f>SUM(A40:O40)</f>
        <v>129681.34166666667</v>
      </c>
      <c r="Q40" s="44" t="s">
        <v>0</v>
      </c>
    </row>
    <row r="41" spans="1:23" x14ac:dyDescent="0.25">
      <c r="C41" s="44">
        <f>SUM(C40:E40)</f>
        <v>13154.166666666668</v>
      </c>
    </row>
    <row r="42" spans="1:23" x14ac:dyDescent="0.25">
      <c r="A42" s="44" t="s">
        <v>1</v>
      </c>
      <c r="B42" s="44" t="s">
        <v>0</v>
      </c>
      <c r="P42" s="44">
        <f>P40-P35</f>
        <v>1314.5416666666715</v>
      </c>
    </row>
    <row r="43" spans="1:23" x14ac:dyDescent="0.25">
      <c r="P43" s="44">
        <f>P42/10000</f>
        <v>0.13145416666666715</v>
      </c>
    </row>
    <row r="44" spans="1:23" x14ac:dyDescent="0.25">
      <c r="A44" s="43" t="s">
        <v>11</v>
      </c>
      <c r="B44" s="46">
        <f>810/(P42/10000)</f>
        <v>6161.8434815683313</v>
      </c>
      <c r="C44" s="43" t="s">
        <v>61</v>
      </c>
    </row>
    <row r="45" spans="1:23" x14ac:dyDescent="0.25">
      <c r="B45" s="44">
        <v>9860</v>
      </c>
      <c r="C45" s="44">
        <v>986</v>
      </c>
      <c r="D45" s="44">
        <f>B45-C45</f>
        <v>8874</v>
      </c>
    </row>
    <row r="46" spans="1:23" x14ac:dyDescent="0.25">
      <c r="C46" s="44">
        <v>13</v>
      </c>
      <c r="D46" s="44">
        <v>13</v>
      </c>
      <c r="J46" s="44">
        <f>8*1025</f>
        <v>8200</v>
      </c>
    </row>
    <row r="47" spans="1:23" x14ac:dyDescent="0.25">
      <c r="C47" s="44">
        <v>0.9</v>
      </c>
      <c r="D47" s="44">
        <v>1</v>
      </c>
    </row>
    <row r="48" spans="1:23" x14ac:dyDescent="0.25">
      <c r="C48" s="44">
        <f>SUM(C45:C47)</f>
        <v>999.9</v>
      </c>
      <c r="D48" s="44">
        <f>SUM(D45:D47)</f>
        <v>8888</v>
      </c>
      <c r="M48" s="47" t="s">
        <v>166</v>
      </c>
    </row>
    <row r="49" spans="1:25" x14ac:dyDescent="0.25">
      <c r="B49" s="46">
        <f>V24/P43</f>
        <v>5381.3433072363423</v>
      </c>
      <c r="M49" s="47">
        <f>M53-M52-M51-M50</f>
        <v>9325</v>
      </c>
    </row>
    <row r="50" spans="1:25" x14ac:dyDescent="0.25">
      <c r="M50" s="47">
        <v>500</v>
      </c>
    </row>
    <row r="51" spans="1:25" x14ac:dyDescent="0.25">
      <c r="A51" s="43" t="s">
        <v>167</v>
      </c>
      <c r="M51" s="47">
        <v>134</v>
      </c>
    </row>
    <row r="52" spans="1:25" x14ac:dyDescent="0.25">
      <c r="A52" s="45" t="s">
        <v>6</v>
      </c>
      <c r="B52" s="44">
        <v>8874</v>
      </c>
      <c r="C52" s="44">
        <v>986</v>
      </c>
      <c r="D52" s="44">
        <v>83</v>
      </c>
      <c r="E52" s="44">
        <v>83</v>
      </c>
      <c r="F52" s="44">
        <v>83</v>
      </c>
      <c r="G52" s="44">
        <v>83</v>
      </c>
      <c r="H52" s="44">
        <v>57</v>
      </c>
      <c r="I52" s="44">
        <v>57</v>
      </c>
      <c r="M52" s="47">
        <v>41</v>
      </c>
      <c r="P52" s="44">
        <f>B52+C52+D52+H52</f>
        <v>10000</v>
      </c>
      <c r="T52" s="44" t="s">
        <v>160</v>
      </c>
      <c r="V52" s="44">
        <v>1025</v>
      </c>
      <c r="Y52" s="44" t="s">
        <v>0</v>
      </c>
    </row>
    <row r="53" spans="1:25" x14ac:dyDescent="0.25">
      <c r="B53" s="44">
        <v>13</v>
      </c>
      <c r="C53" s="44">
        <v>13</v>
      </c>
      <c r="D53" s="44">
        <v>6.5</v>
      </c>
      <c r="E53" s="44">
        <f>2/12</f>
        <v>0.16666666666666666</v>
      </c>
      <c r="F53" s="44">
        <f>10/12</f>
        <v>0.83333333333333337</v>
      </c>
      <c r="G53" s="44">
        <v>5.5</v>
      </c>
      <c r="H53" s="44">
        <v>6.5</v>
      </c>
      <c r="I53" s="44">
        <v>3</v>
      </c>
      <c r="M53" s="47">
        <v>10000</v>
      </c>
      <c r="U53" s="44" t="s">
        <v>161</v>
      </c>
      <c r="V53" s="44">
        <v>3</v>
      </c>
      <c r="W53" s="44" t="s">
        <v>159</v>
      </c>
      <c r="X53" s="44">
        <v>1</v>
      </c>
      <c r="Y53" s="44">
        <f>V52*V53</f>
        <v>3075</v>
      </c>
    </row>
    <row r="54" spans="1:25" x14ac:dyDescent="0.25">
      <c r="B54" s="44">
        <v>1</v>
      </c>
      <c r="C54" s="44">
        <v>0.9</v>
      </c>
      <c r="D54" s="44">
        <v>1</v>
      </c>
      <c r="E54" s="44">
        <v>0.5</v>
      </c>
      <c r="F54" s="44">
        <v>0.8</v>
      </c>
      <c r="G54" s="44">
        <v>0.9</v>
      </c>
      <c r="H54" s="44">
        <v>1</v>
      </c>
      <c r="I54" s="44">
        <v>0.5</v>
      </c>
      <c r="U54" s="44" t="s">
        <v>161</v>
      </c>
      <c r="V54" s="44">
        <f>2/12</f>
        <v>0.16666666666666666</v>
      </c>
      <c r="W54" s="44" t="s">
        <v>159</v>
      </c>
      <c r="X54" s="44">
        <v>0.9</v>
      </c>
      <c r="Y54" s="44">
        <f>V52*V54*X54</f>
        <v>153.75</v>
      </c>
    </row>
    <row r="55" spans="1:25" x14ac:dyDescent="0.25">
      <c r="B55" s="44">
        <f t="shared" ref="B55:I55" si="6">B52*B53*B54</f>
        <v>115362</v>
      </c>
      <c r="C55" s="44">
        <f t="shared" si="6"/>
        <v>11536.2</v>
      </c>
      <c r="D55" s="44">
        <f t="shared" si="6"/>
        <v>539.5</v>
      </c>
      <c r="E55" s="44">
        <f t="shared" si="6"/>
        <v>6.9166666666666661</v>
      </c>
      <c r="F55" s="44">
        <f t="shared" si="6"/>
        <v>55.333333333333343</v>
      </c>
      <c r="G55" s="44">
        <f t="shared" si="6"/>
        <v>410.85</v>
      </c>
      <c r="H55" s="44">
        <f t="shared" si="6"/>
        <v>370.5</v>
      </c>
      <c r="I55" s="44">
        <f t="shared" si="6"/>
        <v>85.5</v>
      </c>
      <c r="J55" s="44">
        <f>SUM(B55:I55)</f>
        <v>128366.8</v>
      </c>
      <c r="P55" s="44">
        <f>J55</f>
        <v>128366.8</v>
      </c>
      <c r="U55" s="44" t="s">
        <v>161</v>
      </c>
      <c r="V55" s="44">
        <f>10/12</f>
        <v>0.83333333333333337</v>
      </c>
      <c r="W55" s="44" t="s">
        <v>159</v>
      </c>
      <c r="X55" s="44">
        <v>1</v>
      </c>
      <c r="Y55" s="44">
        <f>V52*V55*X55</f>
        <v>854.16666666666674</v>
      </c>
    </row>
    <row r="56" spans="1:25" x14ac:dyDescent="0.25">
      <c r="P56" s="44">
        <f>P55/10000</f>
        <v>12.836679999999999</v>
      </c>
      <c r="R56" s="44" t="s">
        <v>162</v>
      </c>
      <c r="S56" s="44">
        <v>10000</v>
      </c>
      <c r="U56" s="44" t="s">
        <v>161</v>
      </c>
      <c r="V56" s="44">
        <v>9</v>
      </c>
      <c r="W56" s="44" t="s">
        <v>159</v>
      </c>
      <c r="X56" s="44">
        <v>1</v>
      </c>
      <c r="Y56" s="44">
        <f>V52*V56*X56</f>
        <v>9225</v>
      </c>
    </row>
    <row r="57" spans="1:25" x14ac:dyDescent="0.25">
      <c r="A57" s="44">
        <v>800</v>
      </c>
      <c r="B57" s="44">
        <f>9200-83-51-41</f>
        <v>9025</v>
      </c>
      <c r="C57" s="44">
        <v>800</v>
      </c>
      <c r="D57" s="44">
        <v>800</v>
      </c>
      <c r="E57" s="44">
        <v>800</v>
      </c>
      <c r="F57" s="44">
        <v>83</v>
      </c>
      <c r="G57" s="44">
        <v>83</v>
      </c>
      <c r="H57" s="44">
        <v>83</v>
      </c>
      <c r="I57" s="44">
        <v>83</v>
      </c>
      <c r="J57" s="44">
        <v>51</v>
      </c>
      <c r="K57" s="44">
        <v>51</v>
      </c>
      <c r="L57" s="44">
        <v>51</v>
      </c>
      <c r="M57" s="44">
        <v>51</v>
      </c>
      <c r="N57" s="44">
        <v>41</v>
      </c>
      <c r="O57" s="44">
        <v>41</v>
      </c>
      <c r="P57" s="44">
        <f>B57+C57+K57+N57+I57</f>
        <v>10000</v>
      </c>
      <c r="R57" s="44" t="s">
        <v>160</v>
      </c>
      <c r="S57" s="44">
        <f>S56/100*5</f>
        <v>500</v>
      </c>
      <c r="Y57" s="44">
        <f>SUM(Y53:Y56)</f>
        <v>13307.916666666668</v>
      </c>
    </row>
    <row r="58" spans="1:25" x14ac:dyDescent="0.25">
      <c r="A58" s="44">
        <f>2/12</f>
        <v>0.16666666666666666</v>
      </c>
      <c r="B58" s="44">
        <v>13</v>
      </c>
      <c r="C58" s="44">
        <v>3</v>
      </c>
      <c r="D58" s="44">
        <f>10/12</f>
        <v>0.83333333333333337</v>
      </c>
      <c r="E58" s="44">
        <v>9</v>
      </c>
      <c r="F58" s="44">
        <v>6.5</v>
      </c>
      <c r="G58" s="44">
        <f>2/12</f>
        <v>0.16666666666666666</v>
      </c>
      <c r="H58" s="44">
        <f>10/12</f>
        <v>0.83333333333333337</v>
      </c>
      <c r="I58" s="44">
        <v>5.5</v>
      </c>
      <c r="J58" s="44">
        <v>3</v>
      </c>
      <c r="K58" s="44">
        <f>1/12</f>
        <v>8.3333333333333329E-2</v>
      </c>
      <c r="L58" s="44">
        <f>5/12</f>
        <v>0.41666666666666669</v>
      </c>
      <c r="M58" s="44">
        <v>9.5</v>
      </c>
      <c r="N58" s="44">
        <v>6.5</v>
      </c>
      <c r="O58" s="44">
        <v>3</v>
      </c>
      <c r="R58" s="44" t="s">
        <v>163</v>
      </c>
      <c r="S58" s="44">
        <v>83</v>
      </c>
    </row>
    <row r="59" spans="1:25" x14ac:dyDescent="0.25">
      <c r="A59" s="44">
        <v>0.9</v>
      </c>
      <c r="B59" s="44">
        <v>1</v>
      </c>
      <c r="C59" s="44">
        <v>1</v>
      </c>
      <c r="D59" s="44">
        <v>1</v>
      </c>
      <c r="E59" s="44">
        <v>1</v>
      </c>
      <c r="F59" s="44">
        <v>1</v>
      </c>
      <c r="G59" s="44">
        <v>0.5</v>
      </c>
      <c r="H59" s="44">
        <v>0.8</v>
      </c>
      <c r="I59" s="44">
        <v>0.9</v>
      </c>
      <c r="J59" s="44">
        <v>1</v>
      </c>
      <c r="K59" s="44">
        <v>0.6</v>
      </c>
      <c r="L59" s="44">
        <v>0.8</v>
      </c>
      <c r="M59" s="44">
        <v>0.95</v>
      </c>
      <c r="N59" s="44">
        <v>1</v>
      </c>
      <c r="O59" s="44">
        <v>0.5</v>
      </c>
      <c r="R59" s="44" t="s">
        <v>164</v>
      </c>
      <c r="S59" s="44">
        <v>41</v>
      </c>
    </row>
    <row r="60" spans="1:25" x14ac:dyDescent="0.25">
      <c r="A60" s="44">
        <f t="shared" ref="A60" si="7">A57*A58*A59</f>
        <v>119.99999999999999</v>
      </c>
      <c r="B60" s="44">
        <f t="shared" ref="B60:O60" si="8">B57*B58*B59</f>
        <v>117325</v>
      </c>
      <c r="C60" s="44">
        <f t="shared" si="8"/>
        <v>2400</v>
      </c>
      <c r="D60" s="44">
        <f t="shared" si="8"/>
        <v>666.66666666666674</v>
      </c>
      <c r="E60" s="44">
        <f t="shared" si="8"/>
        <v>7200</v>
      </c>
      <c r="F60" s="44">
        <f t="shared" si="8"/>
        <v>539.5</v>
      </c>
      <c r="G60" s="44">
        <f t="shared" si="8"/>
        <v>6.9166666666666661</v>
      </c>
      <c r="H60" s="44">
        <f t="shared" si="8"/>
        <v>55.333333333333343</v>
      </c>
      <c r="I60" s="44">
        <f t="shared" si="8"/>
        <v>410.85</v>
      </c>
      <c r="J60" s="44">
        <f t="shared" si="8"/>
        <v>153</v>
      </c>
      <c r="K60" s="44">
        <f t="shared" si="8"/>
        <v>2.5499999999999998</v>
      </c>
      <c r="L60" s="44">
        <f t="shared" si="8"/>
        <v>17</v>
      </c>
      <c r="M60" s="44">
        <f t="shared" si="8"/>
        <v>460.27499999999998</v>
      </c>
      <c r="N60" s="44">
        <f t="shared" si="8"/>
        <v>266.5</v>
      </c>
      <c r="O60" s="44">
        <f t="shared" si="8"/>
        <v>61.5</v>
      </c>
      <c r="P60" s="44">
        <f>SUM(A60:O60)</f>
        <v>129685.09166666667</v>
      </c>
    </row>
    <row r="61" spans="1:25" x14ac:dyDescent="0.25">
      <c r="C61" s="44">
        <f>SUM(C60:E60)</f>
        <v>10266.666666666668</v>
      </c>
    </row>
    <row r="62" spans="1:25" x14ac:dyDescent="0.25">
      <c r="A62" s="44" t="s">
        <v>1</v>
      </c>
      <c r="B62" s="44" t="s">
        <v>0</v>
      </c>
      <c r="P62" s="44">
        <f>P60-P55</f>
        <v>1318.2916666666715</v>
      </c>
    </row>
    <row r="63" spans="1:25" x14ac:dyDescent="0.25">
      <c r="B63" s="44" t="s">
        <v>7</v>
      </c>
      <c r="C63" s="44" t="s">
        <v>8</v>
      </c>
      <c r="P63" s="44">
        <f>P62/10000</f>
        <v>0.13182916666666716</v>
      </c>
    </row>
    <row r="64" spans="1:25" x14ac:dyDescent="0.25">
      <c r="B64" s="44">
        <v>512</v>
      </c>
      <c r="C64" s="44">
        <f>8800+513</f>
        <v>9313</v>
      </c>
    </row>
    <row r="66" spans="1:16" x14ac:dyDescent="0.25">
      <c r="A66" s="43" t="s">
        <v>11</v>
      </c>
      <c r="B66" s="46">
        <f>810/(P62/10000)</f>
        <v>6144.3155599102138</v>
      </c>
      <c r="C66" s="43" t="s">
        <v>168</v>
      </c>
    </row>
    <row r="67" spans="1:16" x14ac:dyDescent="0.25">
      <c r="B67" s="46">
        <f>V24/P63</f>
        <v>5366.0355889882539</v>
      </c>
    </row>
    <row r="71" spans="1:16" x14ac:dyDescent="0.25">
      <c r="A71" s="45" t="s">
        <v>170</v>
      </c>
      <c r="B71" s="44">
        <v>9860</v>
      </c>
      <c r="C71" s="44">
        <v>83</v>
      </c>
      <c r="D71" s="44">
        <v>83</v>
      </c>
      <c r="E71" s="44">
        <v>83</v>
      </c>
      <c r="F71" s="44">
        <v>83</v>
      </c>
      <c r="G71" s="44">
        <v>57</v>
      </c>
      <c r="H71" s="44">
        <v>57</v>
      </c>
      <c r="K71" s="44">
        <f>13*9860</f>
        <v>128180</v>
      </c>
    </row>
    <row r="72" spans="1:16" x14ac:dyDescent="0.25">
      <c r="B72" s="44">
        <v>13</v>
      </c>
      <c r="C72" s="44">
        <v>6.5</v>
      </c>
      <c r="D72" s="44">
        <f>2/12</f>
        <v>0.16666666666666666</v>
      </c>
      <c r="E72" s="44">
        <f>10/12</f>
        <v>0.83333333333333337</v>
      </c>
      <c r="F72" s="44">
        <v>5.5</v>
      </c>
      <c r="G72" s="44">
        <v>6.5</v>
      </c>
      <c r="H72" s="44">
        <v>3</v>
      </c>
    </row>
    <row r="73" spans="1:16" x14ac:dyDescent="0.25">
      <c r="B73" s="48">
        <v>0.95</v>
      </c>
      <c r="C73" s="44">
        <v>1</v>
      </c>
      <c r="D73" s="44">
        <v>0.5</v>
      </c>
      <c r="E73" s="44">
        <v>0.8</v>
      </c>
      <c r="F73" s="44">
        <v>0.9</v>
      </c>
      <c r="G73" s="44">
        <v>1</v>
      </c>
      <c r="H73" s="44">
        <v>0.5</v>
      </c>
    </row>
    <row r="74" spans="1:16" x14ac:dyDescent="0.25">
      <c r="B74" s="44">
        <f>B71*B72*B73</f>
        <v>121771</v>
      </c>
      <c r="C74" s="44">
        <f t="shared" ref="C74:H74" si="9">C71*C72*C73</f>
        <v>539.5</v>
      </c>
      <c r="D74" s="44">
        <f t="shared" si="9"/>
        <v>6.9166666666666661</v>
      </c>
      <c r="E74" s="44">
        <f t="shared" si="9"/>
        <v>55.333333333333343</v>
      </c>
      <c r="F74" s="44">
        <f t="shared" si="9"/>
        <v>410.85</v>
      </c>
      <c r="G74" s="44">
        <f t="shared" si="9"/>
        <v>370.5</v>
      </c>
      <c r="H74" s="44">
        <f t="shared" si="9"/>
        <v>85.5</v>
      </c>
      <c r="I74" s="44">
        <f>SUM(B74:H74)</f>
        <v>123239.6</v>
      </c>
      <c r="P74" s="44">
        <f>I74</f>
        <v>123239.6</v>
      </c>
    </row>
    <row r="76" spans="1:16" x14ac:dyDescent="0.25">
      <c r="A76" s="44" t="s">
        <v>0</v>
      </c>
      <c r="B76" s="44">
        <v>8800</v>
      </c>
      <c r="C76" s="44">
        <v>1025</v>
      </c>
      <c r="D76" s="44">
        <v>1025</v>
      </c>
      <c r="E76" s="44">
        <v>1025</v>
      </c>
      <c r="F76" s="44">
        <v>83</v>
      </c>
      <c r="G76" s="44">
        <v>83</v>
      </c>
      <c r="H76" s="44">
        <v>83</v>
      </c>
      <c r="I76" s="44">
        <v>83</v>
      </c>
      <c r="J76" s="44">
        <v>51</v>
      </c>
      <c r="K76" s="44">
        <v>51</v>
      </c>
      <c r="L76" s="44">
        <v>51</v>
      </c>
      <c r="M76" s="44">
        <v>51</v>
      </c>
      <c r="N76" s="44">
        <v>41</v>
      </c>
      <c r="O76" s="44">
        <v>41</v>
      </c>
    </row>
    <row r="77" spans="1:16" x14ac:dyDescent="0.25">
      <c r="A77" s="44" t="s">
        <v>0</v>
      </c>
      <c r="B77" s="44">
        <v>13</v>
      </c>
      <c r="C77" s="44">
        <v>3</v>
      </c>
      <c r="D77" s="44">
        <v>0.5</v>
      </c>
      <c r="E77" s="44">
        <v>9.5</v>
      </c>
      <c r="F77" s="44">
        <v>6.5</v>
      </c>
      <c r="G77" s="44">
        <f>2/12</f>
        <v>0.16666666666666666</v>
      </c>
      <c r="H77" s="44">
        <f>10/12</f>
        <v>0.83333333333333337</v>
      </c>
      <c r="I77" s="44">
        <v>5.5</v>
      </c>
      <c r="J77" s="44">
        <v>3</v>
      </c>
      <c r="K77" s="44">
        <f>1/12</f>
        <v>8.3333333333333329E-2</v>
      </c>
      <c r="L77" s="44">
        <f>5/12</f>
        <v>0.41666666666666669</v>
      </c>
      <c r="M77" s="44">
        <v>9.5</v>
      </c>
      <c r="N77" s="44">
        <v>6.5</v>
      </c>
      <c r="O77" s="44">
        <v>3</v>
      </c>
    </row>
    <row r="78" spans="1:16" x14ac:dyDescent="0.25">
      <c r="A78" s="44" t="s">
        <v>0</v>
      </c>
      <c r="B78" s="48">
        <v>0.95</v>
      </c>
      <c r="C78" s="44">
        <v>1</v>
      </c>
      <c r="D78" s="44">
        <v>0.9</v>
      </c>
      <c r="E78" s="44">
        <v>1</v>
      </c>
      <c r="F78" s="44">
        <v>1</v>
      </c>
      <c r="G78" s="44">
        <v>0.5</v>
      </c>
      <c r="H78" s="44">
        <v>0.8</v>
      </c>
      <c r="I78" s="44">
        <v>0.9</v>
      </c>
      <c r="J78" s="44">
        <v>1</v>
      </c>
      <c r="K78" s="44">
        <v>0.6</v>
      </c>
      <c r="L78" s="44">
        <v>0.8</v>
      </c>
      <c r="M78" s="44">
        <v>0.95</v>
      </c>
      <c r="N78" s="44">
        <v>1</v>
      </c>
      <c r="O78" s="44">
        <v>0.5</v>
      </c>
    </row>
    <row r="79" spans="1:16" x14ac:dyDescent="0.25">
      <c r="A79" s="44" t="s">
        <v>0</v>
      </c>
      <c r="B79" s="44">
        <f>B76*B77*B78</f>
        <v>108680</v>
      </c>
      <c r="C79" s="44">
        <f t="shared" ref="C79:E79" si="10">C76*C77*C78</f>
        <v>3075</v>
      </c>
      <c r="D79" s="44">
        <f t="shared" si="10"/>
        <v>461.25</v>
      </c>
      <c r="E79" s="44">
        <f t="shared" si="10"/>
        <v>9737.5</v>
      </c>
      <c r="F79" s="44">
        <f>F76*F77*F78</f>
        <v>539.5</v>
      </c>
      <c r="G79" s="44">
        <f>G76*G77*G78</f>
        <v>6.9166666666666661</v>
      </c>
      <c r="H79" s="44">
        <f>H76*H77*H78</f>
        <v>55.333333333333343</v>
      </c>
      <c r="I79" s="44">
        <f>I76*I77*I78</f>
        <v>410.85</v>
      </c>
      <c r="J79" s="44">
        <f t="shared" ref="J79:O79" si="11">J76*J77*J78</f>
        <v>153</v>
      </c>
      <c r="K79" s="44">
        <f t="shared" si="11"/>
        <v>2.5499999999999998</v>
      </c>
      <c r="L79" s="44">
        <f t="shared" si="11"/>
        <v>17</v>
      </c>
      <c r="M79" s="44">
        <f t="shared" si="11"/>
        <v>460.27499999999998</v>
      </c>
      <c r="N79" s="44">
        <f t="shared" si="11"/>
        <v>266.5</v>
      </c>
      <c r="O79" s="44">
        <f t="shared" si="11"/>
        <v>61.5</v>
      </c>
      <c r="P79" s="44">
        <f>SUM(B79:O79)</f>
        <v>123927.175</v>
      </c>
    </row>
    <row r="81" spans="1:16" x14ac:dyDescent="0.25">
      <c r="A81" s="43" t="s">
        <v>11</v>
      </c>
      <c r="B81" s="46">
        <f>810/(P81/10000)</f>
        <v>11780.533032760113</v>
      </c>
      <c r="C81" s="43" t="s">
        <v>0</v>
      </c>
      <c r="P81" s="44">
        <f>P79-P74</f>
        <v>687.57499999999709</v>
      </c>
    </row>
    <row r="84" spans="1:16" x14ac:dyDescent="0.25">
      <c r="A84" s="43" t="s">
        <v>9</v>
      </c>
    </row>
    <row r="85" spans="1:16" x14ac:dyDescent="0.25">
      <c r="A85" s="45" t="s">
        <v>3</v>
      </c>
      <c r="B85" s="44">
        <v>9860</v>
      </c>
      <c r="C85" s="44">
        <v>83</v>
      </c>
      <c r="D85" s="44">
        <v>83</v>
      </c>
      <c r="E85" s="44">
        <v>83</v>
      </c>
      <c r="F85" s="44">
        <v>83</v>
      </c>
      <c r="G85" s="44">
        <v>57</v>
      </c>
      <c r="H85" s="44">
        <v>57</v>
      </c>
    </row>
    <row r="86" spans="1:16" x14ac:dyDescent="0.25">
      <c r="B86" s="44">
        <v>13</v>
      </c>
      <c r="C86" s="44">
        <v>6.5</v>
      </c>
      <c r="D86" s="44">
        <f>2/12</f>
        <v>0.16666666666666666</v>
      </c>
      <c r="E86" s="44">
        <f>10/12</f>
        <v>0.83333333333333337</v>
      </c>
      <c r="F86" s="44">
        <v>5.5</v>
      </c>
      <c r="G86" s="44">
        <v>6.5</v>
      </c>
      <c r="H86" s="44">
        <v>3</v>
      </c>
    </row>
    <row r="87" spans="1:16" x14ac:dyDescent="0.25">
      <c r="B87" s="44">
        <v>0.95</v>
      </c>
      <c r="C87" s="44">
        <v>1</v>
      </c>
      <c r="D87" s="44">
        <v>0.5</v>
      </c>
      <c r="E87" s="44">
        <v>0.8</v>
      </c>
      <c r="F87" s="44">
        <v>0.9</v>
      </c>
      <c r="G87" s="44">
        <v>1</v>
      </c>
      <c r="H87" s="44">
        <v>0.5</v>
      </c>
    </row>
    <row r="88" spans="1:16" x14ac:dyDescent="0.25">
      <c r="B88" s="44">
        <f t="shared" ref="B88:H88" si="12">B85*B86*B87</f>
        <v>121771</v>
      </c>
      <c r="C88" s="44">
        <f t="shared" si="12"/>
        <v>539.5</v>
      </c>
      <c r="D88" s="44">
        <f t="shared" si="12"/>
        <v>6.9166666666666661</v>
      </c>
      <c r="E88" s="44">
        <f t="shared" si="12"/>
        <v>55.333333333333343</v>
      </c>
      <c r="F88" s="44">
        <f t="shared" si="12"/>
        <v>410.85</v>
      </c>
      <c r="G88" s="44">
        <f t="shared" si="12"/>
        <v>370.5</v>
      </c>
      <c r="H88" s="44">
        <f t="shared" si="12"/>
        <v>85.5</v>
      </c>
      <c r="I88" s="44">
        <f>SUM(B88:H88)</f>
        <v>123239.6</v>
      </c>
      <c r="P88" s="44">
        <f>I88</f>
        <v>123239.6</v>
      </c>
    </row>
    <row r="90" spans="1:16" x14ac:dyDescent="0.25">
      <c r="A90" s="44">
        <v>1025</v>
      </c>
      <c r="B90" s="44">
        <v>8800</v>
      </c>
      <c r="C90" s="44">
        <v>1025</v>
      </c>
      <c r="D90" s="44">
        <v>1025</v>
      </c>
      <c r="E90" s="44">
        <v>1025</v>
      </c>
      <c r="F90" s="44">
        <v>83</v>
      </c>
      <c r="G90" s="44">
        <v>83</v>
      </c>
      <c r="H90" s="44">
        <v>83</v>
      </c>
      <c r="I90" s="44">
        <v>83</v>
      </c>
      <c r="J90" s="44">
        <v>51</v>
      </c>
      <c r="K90" s="44">
        <v>51</v>
      </c>
      <c r="L90" s="44">
        <v>51</v>
      </c>
      <c r="M90" s="44">
        <v>51</v>
      </c>
      <c r="N90" s="44">
        <v>41</v>
      </c>
      <c r="O90" s="44">
        <v>41</v>
      </c>
    </row>
    <row r="91" spans="1:16" x14ac:dyDescent="0.25">
      <c r="A91" s="44">
        <f>2/12</f>
        <v>0.16666666666666666</v>
      </c>
      <c r="B91" s="44">
        <v>13</v>
      </c>
      <c r="C91" s="44">
        <v>3</v>
      </c>
      <c r="D91" s="44">
        <f>10/12</f>
        <v>0.83333333333333337</v>
      </c>
      <c r="E91" s="44">
        <v>9</v>
      </c>
      <c r="F91" s="44">
        <v>6.5</v>
      </c>
      <c r="G91" s="44">
        <f>2/12</f>
        <v>0.16666666666666666</v>
      </c>
      <c r="H91" s="44">
        <f>10/12</f>
        <v>0.83333333333333337</v>
      </c>
      <c r="I91" s="44">
        <v>5.5</v>
      </c>
      <c r="J91" s="44">
        <v>3</v>
      </c>
      <c r="K91" s="44">
        <f>1/12</f>
        <v>8.3333333333333329E-2</v>
      </c>
      <c r="L91" s="44">
        <f>5/12</f>
        <v>0.41666666666666669</v>
      </c>
      <c r="M91" s="44">
        <v>9.5</v>
      </c>
      <c r="N91" s="44">
        <v>6.5</v>
      </c>
      <c r="O91" s="44">
        <v>3</v>
      </c>
    </row>
    <row r="92" spans="1:16" x14ac:dyDescent="0.25">
      <c r="A92" s="44">
        <v>0.9</v>
      </c>
      <c r="B92" s="44">
        <v>1</v>
      </c>
      <c r="C92" s="44">
        <v>1</v>
      </c>
      <c r="D92" s="44">
        <v>1</v>
      </c>
      <c r="E92" s="44">
        <v>1</v>
      </c>
      <c r="F92" s="44">
        <v>1</v>
      </c>
      <c r="G92" s="44">
        <v>0.5</v>
      </c>
      <c r="H92" s="44">
        <v>0.8</v>
      </c>
      <c r="I92" s="44">
        <v>0.9</v>
      </c>
      <c r="J92" s="44">
        <v>1</v>
      </c>
      <c r="K92" s="44">
        <v>0.6</v>
      </c>
      <c r="L92" s="44">
        <v>0.8</v>
      </c>
      <c r="M92" s="44">
        <v>0.95</v>
      </c>
      <c r="N92" s="44">
        <v>1</v>
      </c>
      <c r="O92" s="44">
        <v>0.5</v>
      </c>
    </row>
    <row r="93" spans="1:16" x14ac:dyDescent="0.25">
      <c r="A93" s="44">
        <f t="shared" ref="A93:O93" si="13">A90*A91*A92</f>
        <v>153.75</v>
      </c>
      <c r="B93" s="44">
        <f t="shared" si="13"/>
        <v>114400</v>
      </c>
      <c r="C93" s="44">
        <f t="shared" si="13"/>
        <v>3075</v>
      </c>
      <c r="D93" s="44">
        <f t="shared" si="13"/>
        <v>854.16666666666674</v>
      </c>
      <c r="E93" s="44">
        <f t="shared" si="13"/>
        <v>9225</v>
      </c>
      <c r="F93" s="44">
        <f t="shared" si="13"/>
        <v>539.5</v>
      </c>
      <c r="G93" s="44">
        <f t="shared" si="13"/>
        <v>6.9166666666666661</v>
      </c>
      <c r="H93" s="44">
        <f t="shared" si="13"/>
        <v>55.333333333333343</v>
      </c>
      <c r="I93" s="44">
        <f t="shared" si="13"/>
        <v>410.85</v>
      </c>
      <c r="J93" s="44">
        <f t="shared" si="13"/>
        <v>153</v>
      </c>
      <c r="K93" s="44">
        <f t="shared" si="13"/>
        <v>2.5499999999999998</v>
      </c>
      <c r="L93" s="44">
        <f t="shared" si="13"/>
        <v>17</v>
      </c>
      <c r="M93" s="44">
        <f t="shared" si="13"/>
        <v>460.27499999999998</v>
      </c>
      <c r="N93" s="44">
        <f t="shared" si="13"/>
        <v>266.5</v>
      </c>
      <c r="O93" s="44">
        <f t="shared" si="13"/>
        <v>61.5</v>
      </c>
      <c r="P93" s="44">
        <f>SUM(A93:O93)</f>
        <v>129681.34166666667</v>
      </c>
    </row>
    <row r="94" spans="1:16" x14ac:dyDescent="0.25">
      <c r="C94" s="44">
        <f>SUM(C93:E93)</f>
        <v>13154.166666666668</v>
      </c>
    </row>
    <row r="95" spans="1:16" x14ac:dyDescent="0.25">
      <c r="A95" s="44" t="s">
        <v>1</v>
      </c>
      <c r="B95" s="44" t="s">
        <v>0</v>
      </c>
      <c r="P95" s="44">
        <f>P93-P88</f>
        <v>6441.7416666666686</v>
      </c>
    </row>
    <row r="96" spans="1:16" x14ac:dyDescent="0.25">
      <c r="A96" s="43" t="s">
        <v>11</v>
      </c>
      <c r="B96" s="46">
        <f>810/(P96)</f>
        <v>1257.4239109764567</v>
      </c>
      <c r="C96" s="43" t="s">
        <v>62</v>
      </c>
      <c r="P96" s="44">
        <f>P95/10000</f>
        <v>0.64417416666666683</v>
      </c>
    </row>
  </sheetData>
  <phoneticPr fontId="3" type="noConversion"/>
  <pageMargins left="0.7" right="0.7" top="0.78740157499999996" bottom="0.78740157499999996"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22"/>
  <sheetViews>
    <sheetView workbookViewId="0">
      <selection activeCell="D15" sqref="D15"/>
    </sheetView>
  </sheetViews>
  <sheetFormatPr baseColWidth="10" defaultColWidth="11.42578125" defaultRowHeight="15" x14ac:dyDescent="0.25"/>
  <cols>
    <col min="1" max="1" width="11.42578125" style="10"/>
    <col min="2" max="2" width="93.28515625" style="10" customWidth="1"/>
    <col min="3" max="16384" width="11.42578125" style="10"/>
  </cols>
  <sheetData>
    <row r="2" spans="2:2" x14ac:dyDescent="0.25">
      <c r="B2" s="36" t="s">
        <v>135</v>
      </c>
    </row>
    <row r="3" spans="2:2" ht="26.25" x14ac:dyDescent="0.25">
      <c r="B3" s="36" t="s">
        <v>136</v>
      </c>
    </row>
    <row r="4" spans="2:2" x14ac:dyDescent="0.25">
      <c r="B4" s="36" t="s">
        <v>137</v>
      </c>
    </row>
    <row r="6" spans="2:2" ht="15.75" x14ac:dyDescent="0.25">
      <c r="B6" s="35" t="s">
        <v>125</v>
      </c>
    </row>
    <row r="7" spans="2:2" ht="15.75" x14ac:dyDescent="0.25">
      <c r="B7" s="35"/>
    </row>
    <row r="8" spans="2:2" ht="94.5" x14ac:dyDescent="0.25">
      <c r="B8" s="35" t="s">
        <v>126</v>
      </c>
    </row>
    <row r="9" spans="2:2" ht="15.75" x14ac:dyDescent="0.25">
      <c r="B9" s="35"/>
    </row>
    <row r="10" spans="2:2" ht="47.25" x14ac:dyDescent="0.25">
      <c r="B10" s="35" t="s">
        <v>127</v>
      </c>
    </row>
    <row r="11" spans="2:2" ht="15.75" x14ac:dyDescent="0.25">
      <c r="B11" s="35"/>
    </row>
    <row r="12" spans="2:2" ht="78.75" x14ac:dyDescent="0.25">
      <c r="B12" s="35" t="s">
        <v>128</v>
      </c>
    </row>
    <row r="13" spans="2:2" ht="15.75" x14ac:dyDescent="0.25">
      <c r="B13" s="35"/>
    </row>
    <row r="14" spans="2:2" ht="15.75" x14ac:dyDescent="0.25">
      <c r="B14" s="35" t="s">
        <v>129</v>
      </c>
    </row>
    <row r="15" spans="2:2" ht="126" x14ac:dyDescent="0.25">
      <c r="B15" s="35" t="s">
        <v>130</v>
      </c>
    </row>
    <row r="16" spans="2:2" ht="63" x14ac:dyDescent="0.25">
      <c r="B16" s="35" t="s">
        <v>131</v>
      </c>
    </row>
    <row r="17" spans="2:2" ht="15.75" x14ac:dyDescent="0.25">
      <c r="B17" s="35"/>
    </row>
    <row r="18" spans="2:2" ht="78.75" x14ac:dyDescent="0.25">
      <c r="B18" s="35" t="s">
        <v>132</v>
      </c>
    </row>
    <row r="19" spans="2:2" ht="15.75" x14ac:dyDescent="0.25">
      <c r="B19" s="35"/>
    </row>
    <row r="20" spans="2:2" ht="15.75" x14ac:dyDescent="0.25">
      <c r="B20" s="35" t="s">
        <v>133</v>
      </c>
    </row>
    <row r="21" spans="2:2" ht="15.75" x14ac:dyDescent="0.25">
      <c r="B21" s="35"/>
    </row>
    <row r="22" spans="2:2" ht="47.25" x14ac:dyDescent="0.25">
      <c r="B22" s="35" t="s">
        <v>134</v>
      </c>
    </row>
  </sheetData>
  <phoneticPr fontId="3" type="noConversion"/>
  <pageMargins left="0.75" right="0.75" top="1" bottom="1"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J2" sqref="J2"/>
    </sheetView>
  </sheetViews>
  <sheetFormatPr baseColWidth="10" defaultColWidth="11.42578125" defaultRowHeight="15" x14ac:dyDescent="0.25"/>
  <cols>
    <col min="1" max="16384" width="11.42578125" style="10"/>
  </cols>
  <sheetData/>
  <phoneticPr fontId="3" type="noConversion"/>
  <pageMargins left="0.75" right="0.75" top="1" bottom="1" header="0.4921259845" footer="0.492125984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M10:O15"/>
  <sheetViews>
    <sheetView workbookViewId="0">
      <selection activeCell="M21" sqref="M21"/>
    </sheetView>
  </sheetViews>
  <sheetFormatPr baseColWidth="10" defaultColWidth="11.42578125" defaultRowHeight="15" x14ac:dyDescent="0.25"/>
  <cols>
    <col min="1" max="16384" width="11.42578125" style="10"/>
  </cols>
  <sheetData>
    <row r="10" spans="13:15" x14ac:dyDescent="0.25">
      <c r="M10" s="10" t="s">
        <v>166</v>
      </c>
      <c r="N10" s="10" t="s">
        <v>165</v>
      </c>
    </row>
    <row r="11" spans="13:15" x14ac:dyDescent="0.25">
      <c r="M11" s="10">
        <f>M15-M14-M13-M12</f>
        <v>9325</v>
      </c>
      <c r="N11" s="10">
        <v>8800</v>
      </c>
      <c r="O11" s="10">
        <v>9860</v>
      </c>
    </row>
    <row r="12" spans="13:15" x14ac:dyDescent="0.25">
      <c r="M12" s="10">
        <v>500</v>
      </c>
      <c r="N12" s="10">
        <v>1025</v>
      </c>
    </row>
    <row r="13" spans="13:15" x14ac:dyDescent="0.25">
      <c r="M13" s="10">
        <v>134</v>
      </c>
      <c r="N13" s="10">
        <v>134</v>
      </c>
      <c r="O13" s="10">
        <v>83</v>
      </c>
    </row>
    <row r="14" spans="13:15" x14ac:dyDescent="0.25">
      <c r="M14" s="10">
        <v>41</v>
      </c>
      <c r="N14" s="10">
        <v>41</v>
      </c>
      <c r="O14" s="10">
        <v>57</v>
      </c>
    </row>
    <row r="15" spans="13:15" x14ac:dyDescent="0.25">
      <c r="M15" s="10">
        <v>10000</v>
      </c>
      <c r="N15" s="10">
        <f>SUM(N11:N14)</f>
        <v>10000</v>
      </c>
      <c r="O15" s="10">
        <f>SUM(O11:O14)</f>
        <v>10000</v>
      </c>
    </row>
  </sheetData>
  <phoneticPr fontId="3" type="noConversion"/>
  <pageMargins left="0.75" right="0.75" top="1" bottom="1" header="0.4921259845" footer="0.492125984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S48" sqref="S48"/>
    </sheetView>
  </sheetViews>
  <sheetFormatPr baseColWidth="10" defaultColWidth="11.42578125" defaultRowHeight="15" x14ac:dyDescent="0.25"/>
  <cols>
    <col min="1" max="16384" width="11.42578125" style="10"/>
  </cols>
  <sheetData/>
  <phoneticPr fontId="3" type="noConversion"/>
  <pageMargins left="0.75" right="0.75" top="1" bottom="1" header="0.4921259845" footer="0.4921259845"/>
  <headerFooter alignWithMargins="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vt:i4>
      </vt:variant>
    </vt:vector>
  </HeadingPairs>
  <TitlesOfParts>
    <vt:vector size="13" baseType="lpstr">
      <vt:lpstr>DISCUSSION</vt:lpstr>
      <vt:lpstr>EXPERT</vt:lpstr>
      <vt:lpstr>QALYCOPY</vt:lpstr>
      <vt:lpstr>DISCOUNT</vt:lpstr>
      <vt:lpstr>QALY</vt:lpstr>
      <vt:lpstr>OPEN Q</vt:lpstr>
      <vt:lpstr>INDEX</vt:lpstr>
      <vt:lpstr>MODELL</vt:lpstr>
      <vt:lpstr>WIRKUNG</vt:lpstr>
      <vt:lpstr>Panel SMB</vt:lpstr>
      <vt:lpstr>BAYES</vt:lpstr>
      <vt:lpstr>Gutzwiller1999</vt:lpstr>
      <vt:lpstr>DISCUSSION!Druckbereich</vt:lpstr>
    </vt:vector>
  </TitlesOfParts>
  <Company>Kardiolab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Romanens Michel</dc:creator>
  <cp:lastModifiedBy>Romanens Michel</cp:lastModifiedBy>
  <dcterms:created xsi:type="dcterms:W3CDTF">2014-02-02T14:09:34Z</dcterms:created>
  <dcterms:modified xsi:type="dcterms:W3CDTF">2023-05-28T07:54:30Z</dcterms:modified>
</cp:coreProperties>
</file>