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\Nextcloud3\VEMS\"/>
    </mc:Choice>
  </mc:AlternateContent>
  <xr:revisionPtr revIDLastSave="0" documentId="13_ncr:1_{D3C35C40-68D3-4B8F-8E3A-CCE36A2F46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ARIFO QALY SMB Calculator" sheetId="2" r:id="rId1"/>
  </sheets>
  <calcPr calcId="191029"/>
</workbook>
</file>

<file path=xl/calcChain.xml><?xml version="1.0" encoding="utf-8"?>
<calcChain xmlns="http://schemas.openxmlformats.org/spreadsheetml/2006/main">
  <c r="D24" i="2" l="1"/>
  <c r="D26" i="2"/>
  <c r="D21" i="2"/>
  <c r="J26" i="2"/>
  <c r="J21" i="2"/>
  <c r="G21" i="2"/>
  <c r="D32" i="2" l="1"/>
  <c r="D27" i="2"/>
  <c r="D30" i="2" s="1"/>
  <c r="D29" i="2"/>
  <c r="J27" i="2"/>
  <c r="J30" i="2" s="1"/>
  <c r="J29" i="2"/>
  <c r="D33" i="2" l="1"/>
  <c r="D34" i="2" s="1"/>
  <c r="D31" i="2"/>
  <c r="D19" i="2"/>
  <c r="D20" i="2" s="1"/>
  <c r="D22" i="2" s="1"/>
  <c r="D23" i="2" s="1"/>
  <c r="D18" i="2"/>
  <c r="D28" i="2"/>
  <c r="J32" i="2"/>
  <c r="J18" i="2"/>
  <c r="J19" i="2"/>
  <c r="J20" i="2" s="1"/>
  <c r="J22" i="2" s="1"/>
  <c r="J31" i="2"/>
  <c r="J33" i="2"/>
  <c r="J34" i="2" s="1"/>
  <c r="J28" i="2"/>
  <c r="J23" i="2" l="1"/>
  <c r="I26" i="2" l="1"/>
  <c r="I29" i="2" s="1"/>
  <c r="I21" i="2"/>
  <c r="I27" i="2" l="1"/>
  <c r="I30" i="2" s="1"/>
  <c r="I19" i="2" s="1"/>
  <c r="I20" i="2" s="1"/>
  <c r="I22" i="2" s="1"/>
  <c r="H26" i="2"/>
  <c r="H29" i="2" s="1"/>
  <c r="G26" i="2"/>
  <c r="G29" i="2" s="1"/>
  <c r="F26" i="2"/>
  <c r="F29" i="2" s="1"/>
  <c r="E26" i="2"/>
  <c r="E29" i="2" s="1"/>
  <c r="C26" i="2"/>
  <c r="C29" i="2" s="1"/>
  <c r="H21" i="2"/>
  <c r="F21" i="2"/>
  <c r="E21" i="2"/>
  <c r="C21" i="2"/>
  <c r="I18" i="2" l="1"/>
  <c r="I23" i="2" s="1"/>
  <c r="I31" i="2"/>
  <c r="I28" i="2"/>
  <c r="I32" i="2"/>
  <c r="I33" i="2"/>
  <c r="I34" i="2" s="1"/>
  <c r="G27" i="2"/>
  <c r="G30" i="2" s="1"/>
  <c r="G19" i="2" s="1"/>
  <c r="H27" i="2"/>
  <c r="H30" i="2" s="1"/>
  <c r="H18" i="2" s="1"/>
  <c r="E27" i="2"/>
  <c r="C27" i="2"/>
  <c r="C30" i="2" s="1"/>
  <c r="F27" i="2"/>
  <c r="F30" i="2" s="1"/>
  <c r="F19" i="2" s="1"/>
  <c r="G20" i="2" l="1"/>
  <c r="G22" i="2" s="1"/>
  <c r="E30" i="2"/>
  <c r="G31" i="2"/>
  <c r="H31" i="2"/>
  <c r="E28" i="2"/>
  <c r="H19" i="2"/>
  <c r="H20" i="2" s="1"/>
  <c r="H22" i="2" s="1"/>
  <c r="H23" i="2" s="1"/>
  <c r="H33" i="2"/>
  <c r="H34" i="2" s="1"/>
  <c r="G32" i="2"/>
  <c r="G33" i="2"/>
  <c r="G34" i="2" s="1"/>
  <c r="E32" i="2"/>
  <c r="G18" i="2"/>
  <c r="H32" i="2"/>
  <c r="H28" i="2"/>
  <c r="F28" i="2"/>
  <c r="C28" i="2"/>
  <c r="G28" i="2"/>
  <c r="C32" i="2"/>
  <c r="C18" i="2"/>
  <c r="C19" i="2"/>
  <c r="C31" i="2"/>
  <c r="C33" i="2"/>
  <c r="C34" i="2" s="1"/>
  <c r="F18" i="2"/>
  <c r="F33" i="2"/>
  <c r="F34" i="2" s="1"/>
  <c r="F31" i="2"/>
  <c r="F20" i="2"/>
  <c r="F22" i="2" s="1"/>
  <c r="F32" i="2"/>
  <c r="E18" i="2" l="1"/>
  <c r="E19" i="2"/>
  <c r="E20" i="2" s="1"/>
  <c r="E22" i="2" s="1"/>
  <c r="G23" i="2"/>
  <c r="F23" i="2"/>
  <c r="E33" i="2"/>
  <c r="E34" i="2" s="1"/>
  <c r="E31" i="2"/>
  <c r="C20" i="2"/>
  <c r="C22" i="2" s="1"/>
  <c r="C23" i="2" s="1"/>
  <c r="E23" i="2" l="1"/>
</calcChain>
</file>

<file path=xl/sharedStrings.xml><?xml version="1.0" encoding="utf-8"?>
<sst xmlns="http://schemas.openxmlformats.org/spreadsheetml/2006/main" count="38" uniqueCount="33">
  <si>
    <t xml:space="preserve"> </t>
  </si>
  <si>
    <t>Assumptions</t>
  </si>
  <si>
    <t>Fatal heart attack</t>
  </si>
  <si>
    <t>Non-fatal heart attack (factor)</t>
  </si>
  <si>
    <t>Cost of fatal heart attack</t>
  </si>
  <si>
    <t>Cost of non-fatal heart attack (1st year)</t>
  </si>
  <si>
    <t>Cost of non-fatal heart attack (after first 1st year)</t>
  </si>
  <si>
    <t>Statin and monitoring cost (per year)</t>
  </si>
  <si>
    <t>Duration of observation (years)</t>
  </si>
  <si>
    <t>Effect [(improvement of life) * (quality)]</t>
  </si>
  <si>
    <t>Total cost (per individual)</t>
  </si>
  <si>
    <t>Statin and monitoring cost (obersvation years)</t>
  </si>
  <si>
    <t>Avoided healthcare costs</t>
  </si>
  <si>
    <t>cost : efficiency ratio (Cost per QALY)</t>
  </si>
  <si>
    <t>Number of individuals</t>
  </si>
  <si>
    <t>Expected fatal heart attacks</t>
  </si>
  <si>
    <t>Expected non-fatal heart attacks</t>
  </si>
  <si>
    <t>Total amount of events (deadly &amp; non-deadly)</t>
  </si>
  <si>
    <t>Avoidable fatal heart attacks</t>
  </si>
  <si>
    <t>Avoidable non-fatal heart attacks</t>
  </si>
  <si>
    <t>Absolute risk</t>
  </si>
  <si>
    <t>Avoidable risk</t>
  </si>
  <si>
    <t>Number needed to treat (NNT)</t>
  </si>
  <si>
    <t>Total amount of avoidable events (deadly &amp; non-deadly)</t>
  </si>
  <si>
    <t>Fatal AMI Risk in % in years</t>
  </si>
  <si>
    <t>Total avoidable cost (per 1000 individuals)</t>
  </si>
  <si>
    <t>Base Case</t>
  </si>
  <si>
    <t>7.a.i</t>
  </si>
  <si>
    <t>7.a.ii</t>
  </si>
  <si>
    <t>7.b.i</t>
  </si>
  <si>
    <t>7.b.ii</t>
  </si>
  <si>
    <t>7.b.iii</t>
  </si>
  <si>
    <t>7.b.iv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</si>
</sst>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medium">
        <color indexed="55"/>
      </right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7" fillId="0" borderId="12" applyNumberFormat="0" applyFont="0" applyAlignment="0">
      <alignment horizontal="right" vertical="center"/>
      <protection locked="0"/>
    </xf>
    <xf numFmtId="0" fontId="7" fillId="0" borderId="0" applyNumberFormat="0" applyFont="0" applyAlignment="0">
      <alignment horizontal="right" vertical="center"/>
      <protection locked="0"/>
    </xf>
    <xf numFmtId="0" fontId="7" fillId="0" borderId="13">
      <alignment horizontal="right" vertical="center"/>
      <protection locked="0"/>
    </xf>
  </cellStyleXfs>
  <cellXfs count="6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3" fontId="0" fillId="2" borderId="0" xfId="0" applyNumberFormat="1" applyFill="1"/>
    <xf numFmtId="2" fontId="0" fillId="2" borderId="0" xfId="0" applyNumberFormat="1" applyFill="1"/>
    <xf numFmtId="0" fontId="4" fillId="2" borderId="0" xfId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/>
    <xf numFmtId="164" fontId="2" fillId="2" borderId="4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0" fontId="0" fillId="2" borderId="0" xfId="0" applyFill="1" applyBorder="1"/>
    <xf numFmtId="166" fontId="0" fillId="2" borderId="0" xfId="0" applyNumberFormat="1" applyFill="1"/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0" xfId="0" applyFont="1" applyFill="1" applyBorder="1"/>
    <xf numFmtId="0" fontId="3" fillId="2" borderId="10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</cellXfs>
  <cellStyles count="6">
    <cellStyle name="Data" xfId="4" xr:uid="{00000000-0005-0000-0000-000000000000}"/>
    <cellStyle name="DataSeperated" xfId="3" xr:uid="{00000000-0005-0000-0000-000001000000}"/>
    <cellStyle name="LabelLeftVariable" xfId="5" xr:uid="{00000000-0005-0000-0000-000002000000}"/>
    <cellStyle name="Link" xfId="1" builtinId="8"/>
    <cellStyle name="Standard" xfId="0" builtinId="0"/>
    <cellStyle name="Standard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CTT 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574365704286962E-2"/>
                  <c:y val="-0.132669145523476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'VARIFO QALY SMB Calculator'!$B$93:$B$98</c:f>
              <c:numCache>
                <c:formatCode>General</c:formatCode>
                <c:ptCount val="6"/>
              </c:numCache>
            </c:numRef>
          </c:cat>
          <c:val>
            <c:numRef>
              <c:f>'VARIFO QALY SMB Calculator'!$C$93:$C$98</c:f>
              <c:numCache>
                <c:formatCode>0.00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57-4B63-9107-C76F4330B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26312"/>
        <c:axId val="210929872"/>
      </c:lineChart>
      <c:catAx>
        <c:axId val="21002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929872"/>
        <c:crosses val="autoZero"/>
        <c:auto val="1"/>
        <c:lblAlgn val="ctr"/>
        <c:lblOffset val="100"/>
        <c:noMultiLvlLbl val="0"/>
      </c:catAx>
      <c:valAx>
        <c:axId val="21092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026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'VARIFO QALY SMB Calculator'!$C$184</c:f>
              <c:strCache>
                <c:ptCount val="1"/>
              </c:strCache>
            </c:strRef>
          </c:tx>
          <c:spPr>
            <a:ln w="3175">
              <a:prstDash val="dash"/>
            </a:ln>
          </c:spPr>
          <c:marker>
            <c:symbol val="none"/>
          </c:marker>
          <c:trendline>
            <c:spPr>
              <a:ln w="254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26129235869807771"/>
                  <c:y val="0.45142696793183962"/>
                </c:manualLayout>
              </c:layout>
              <c:numFmt formatCode="General" sourceLinked="0"/>
            </c:trendlineLbl>
          </c:trendline>
          <c:cat>
            <c:numRef>
              <c:f>'VARIFO QALY SMB Calculator'!$B$185:$B$190</c:f>
              <c:numCache>
                <c:formatCode>General</c:formatCode>
                <c:ptCount val="6"/>
              </c:numCache>
            </c:numRef>
          </c:cat>
          <c:val>
            <c:numRef>
              <c:f>'VARIFO QALY SMB Calculator'!$C$185:$C$190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87-4CCA-A87B-78971994658A}"/>
            </c:ext>
          </c:extLst>
        </c:ser>
        <c:ser>
          <c:idx val="1"/>
          <c:order val="1"/>
          <c:tx>
            <c:strRef>
              <c:f>'VARIFO QALY SMB Calculator'!$D$184</c:f>
              <c:strCache>
                <c:ptCount val="1"/>
              </c:strCache>
            </c:strRef>
          </c:tx>
          <c:spPr>
            <a:ln w="3175"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C0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33808664605183464"/>
                  <c:y val="0.11900507352575886"/>
                </c:manualLayout>
              </c:layout>
              <c:numFmt formatCode="General" sourceLinked="0"/>
            </c:trendlineLbl>
          </c:trendline>
          <c:cat>
            <c:numRef>
              <c:f>'VARIFO QALY SMB Calculator'!$B$185:$B$190</c:f>
              <c:numCache>
                <c:formatCode>General</c:formatCode>
                <c:ptCount val="6"/>
              </c:numCache>
            </c:numRef>
          </c:cat>
          <c:val>
            <c:numRef>
              <c:f>'VARIFO QALY SMB Calculator'!$D$185:$D$190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87-4CCA-A87B-789719946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680160"/>
        <c:axId val="435680552"/>
      </c:lineChart>
      <c:catAx>
        <c:axId val="43568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5680552"/>
        <c:crosses val="autoZero"/>
        <c:auto val="1"/>
        <c:lblAlgn val="ctr"/>
        <c:lblOffset val="100"/>
        <c:noMultiLvlLbl val="0"/>
      </c:catAx>
      <c:valAx>
        <c:axId val="435680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5680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Relation between CostS/QALY </a:t>
            </a:r>
          </a:p>
          <a:p>
            <a:pPr>
              <a:defRPr/>
            </a:pPr>
            <a:r>
              <a:rPr lang="de-CH"/>
              <a:t>AND NNT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2047200349956254"/>
                  <c:y val="-2.901210265383493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de-CH" baseline="0"/>
                      <a:t>y = 2723.2x - 27929</a:t>
                    </a:r>
                    <a:br>
                      <a:rPr lang="de-CH" baseline="0"/>
                    </a:br>
                    <a:endParaRPr lang="de-CH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'VARIFO QALY SMB Calculator'!$C$215:$C$224</c:f>
              <c:numCache>
                <c:formatCode>General</c:formatCode>
                <c:ptCount val="10"/>
              </c:numCache>
            </c:numRef>
          </c:xVal>
          <c:yVal>
            <c:numRef>
              <c:f>'VARIFO QALY SMB Calculator'!$D$215:$D$224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CF-495D-A286-3871EF783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681728"/>
        <c:axId val="436066656"/>
      </c:scatterChart>
      <c:valAx>
        <c:axId val="43568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6066656"/>
        <c:crosses val="autoZero"/>
        <c:crossBetween val="midCat"/>
      </c:valAx>
      <c:valAx>
        <c:axId val="43606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5681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165901</xdr:rowOff>
    </xdr:from>
    <xdr:to>
      <xdr:col>5</xdr:col>
      <xdr:colOff>264585</xdr:colOff>
      <xdr:row>7</xdr:row>
      <xdr:rowOff>34925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65901"/>
          <a:ext cx="1436160" cy="12025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97</xdr:row>
      <xdr:rowOff>168274</xdr:rowOff>
    </xdr:from>
    <xdr:to>
      <xdr:col>3</xdr:col>
      <xdr:colOff>566207</xdr:colOff>
      <xdr:row>112</xdr:row>
      <xdr:rowOff>53974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115</xdr:row>
      <xdr:rowOff>105834</xdr:rowOff>
    </xdr:from>
    <xdr:to>
      <xdr:col>3</xdr:col>
      <xdr:colOff>550130</xdr:colOff>
      <xdr:row>134</xdr:row>
      <xdr:rowOff>62441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417" y="22648334"/>
          <a:ext cx="4399413" cy="3576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191</xdr:row>
      <xdr:rowOff>9525</xdr:rowOff>
    </xdr:from>
    <xdr:to>
      <xdr:col>4</xdr:col>
      <xdr:colOff>9525</xdr:colOff>
      <xdr:row>208</xdr:row>
      <xdr:rowOff>28575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52387</xdr:colOff>
      <xdr:row>209</xdr:row>
      <xdr:rowOff>66675</xdr:rowOff>
    </xdr:from>
    <xdr:to>
      <xdr:col>10</xdr:col>
      <xdr:colOff>0</xdr:colOff>
      <xdr:row>223</xdr:row>
      <xdr:rowOff>142875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L235"/>
  <sheetViews>
    <sheetView tabSelected="1" zoomScaleNormal="100" workbookViewId="0">
      <selection activeCell="O26" sqref="O26"/>
    </sheetView>
  </sheetViews>
  <sheetFormatPr baseColWidth="10" defaultColWidth="9.140625" defaultRowHeight="15" x14ac:dyDescent="0.25"/>
  <cols>
    <col min="1" max="1" width="21.5703125" style="1" customWidth="1"/>
    <col min="2" max="2" width="44.5703125" style="1" customWidth="1"/>
    <col min="3" max="6" width="13.140625" style="2" customWidth="1"/>
    <col min="7" max="9" width="13.140625" style="1" customWidth="1"/>
    <col min="10" max="16384" width="9.140625" style="1"/>
  </cols>
  <sheetData>
    <row r="5" spans="2:10" x14ac:dyDescent="0.25">
      <c r="G5" s="3"/>
      <c r="H5" s="3"/>
      <c r="I5" s="3"/>
      <c r="J5" s="4"/>
    </row>
    <row r="6" spans="2:10" x14ac:dyDescent="0.25">
      <c r="C6" s="5"/>
      <c r="G6" s="3"/>
      <c r="H6" s="3"/>
      <c r="I6" s="3"/>
      <c r="J6" s="4"/>
    </row>
    <row r="7" spans="2:10" x14ac:dyDescent="0.25">
      <c r="G7" s="3"/>
      <c r="H7" s="3"/>
      <c r="I7" s="3"/>
      <c r="J7" s="4"/>
    </row>
    <row r="8" spans="2:10" x14ac:dyDescent="0.25">
      <c r="G8" s="3"/>
      <c r="H8" s="3"/>
      <c r="I8" s="3"/>
    </row>
    <row r="9" spans="2:10" ht="15.75" thickBot="1" x14ac:dyDescent="0.3"/>
    <row r="10" spans="2:10" x14ac:dyDescent="0.25">
      <c r="B10" s="55" t="s">
        <v>1</v>
      </c>
      <c r="C10" s="9" t="s">
        <v>26</v>
      </c>
      <c r="D10" s="9" t="s">
        <v>26</v>
      </c>
      <c r="E10" s="6" t="s">
        <v>27</v>
      </c>
      <c r="F10" s="8" t="s">
        <v>28</v>
      </c>
      <c r="G10" s="6" t="s">
        <v>29</v>
      </c>
      <c r="H10" s="7" t="s">
        <v>30</v>
      </c>
      <c r="I10" s="7" t="s">
        <v>31</v>
      </c>
      <c r="J10" s="8" t="s">
        <v>32</v>
      </c>
    </row>
    <row r="11" spans="2:10" x14ac:dyDescent="0.25">
      <c r="B11" s="10" t="s">
        <v>2</v>
      </c>
      <c r="C11" s="14">
        <v>1</v>
      </c>
      <c r="D11" s="14">
        <v>1</v>
      </c>
      <c r="E11" s="11">
        <v>1</v>
      </c>
      <c r="F11" s="13">
        <v>1</v>
      </c>
      <c r="G11" s="11">
        <v>1</v>
      </c>
      <c r="H11" s="12">
        <v>1</v>
      </c>
      <c r="I11" s="12">
        <v>1</v>
      </c>
      <c r="J11" s="13">
        <v>1</v>
      </c>
    </row>
    <row r="12" spans="2:10" x14ac:dyDescent="0.25">
      <c r="B12" s="10" t="s">
        <v>3</v>
      </c>
      <c r="C12" s="14">
        <v>4.5</v>
      </c>
      <c r="D12" s="14">
        <v>4.5</v>
      </c>
      <c r="E12" s="11">
        <v>4.5</v>
      </c>
      <c r="F12" s="13">
        <v>4.5</v>
      </c>
      <c r="G12" s="11">
        <v>4.5</v>
      </c>
      <c r="H12" s="12">
        <v>4.5</v>
      </c>
      <c r="I12" s="12">
        <v>4.5</v>
      </c>
      <c r="J12" s="13">
        <v>4.5</v>
      </c>
    </row>
    <row r="13" spans="2:10" x14ac:dyDescent="0.25">
      <c r="B13" s="10" t="s">
        <v>4</v>
      </c>
      <c r="C13" s="41">
        <v>8500</v>
      </c>
      <c r="D13" s="41">
        <v>8500</v>
      </c>
      <c r="E13" s="19">
        <v>8500</v>
      </c>
      <c r="F13" s="16">
        <v>8500</v>
      </c>
      <c r="G13" s="20">
        <v>8500</v>
      </c>
      <c r="H13" s="17">
        <v>8500</v>
      </c>
      <c r="I13" s="17">
        <v>8500</v>
      </c>
      <c r="J13" s="21">
        <v>8500</v>
      </c>
    </row>
    <row r="14" spans="2:10" x14ac:dyDescent="0.25">
      <c r="B14" s="10" t="s">
        <v>5</v>
      </c>
      <c r="C14" s="41">
        <v>25000</v>
      </c>
      <c r="D14" s="41">
        <v>25000</v>
      </c>
      <c r="E14" s="19">
        <v>25000</v>
      </c>
      <c r="F14" s="16">
        <v>25000</v>
      </c>
      <c r="G14" s="20">
        <v>25000</v>
      </c>
      <c r="H14" s="17">
        <v>25000</v>
      </c>
      <c r="I14" s="17">
        <v>25000</v>
      </c>
      <c r="J14" s="21">
        <v>25000</v>
      </c>
    </row>
    <row r="15" spans="2:10" x14ac:dyDescent="0.25">
      <c r="B15" s="10" t="s">
        <v>6</v>
      </c>
      <c r="C15" s="41">
        <v>8000</v>
      </c>
      <c r="D15" s="41">
        <v>8000</v>
      </c>
      <c r="E15" s="19">
        <v>8000</v>
      </c>
      <c r="F15" s="16">
        <v>8000</v>
      </c>
      <c r="G15" s="17">
        <v>8000</v>
      </c>
      <c r="H15" s="17">
        <v>8000</v>
      </c>
      <c r="I15" s="17">
        <v>8000</v>
      </c>
      <c r="J15" s="21">
        <v>8000</v>
      </c>
    </row>
    <row r="16" spans="2:10" x14ac:dyDescent="0.25">
      <c r="B16" s="10" t="s">
        <v>7</v>
      </c>
      <c r="C16" s="18">
        <v>470</v>
      </c>
      <c r="D16" s="18">
        <v>470</v>
      </c>
      <c r="E16" s="20">
        <v>470</v>
      </c>
      <c r="F16" s="21">
        <v>470</v>
      </c>
      <c r="G16" s="20">
        <v>470</v>
      </c>
      <c r="H16" s="17">
        <v>470</v>
      </c>
      <c r="I16" s="17">
        <v>470</v>
      </c>
      <c r="J16" s="21">
        <v>470</v>
      </c>
    </row>
    <row r="17" spans="2:12" x14ac:dyDescent="0.25">
      <c r="B17" s="56" t="s">
        <v>8</v>
      </c>
      <c r="C17" s="42">
        <v>5</v>
      </c>
      <c r="D17" s="42">
        <v>5</v>
      </c>
      <c r="E17" s="46">
        <v>5</v>
      </c>
      <c r="F17" s="47">
        <v>5</v>
      </c>
      <c r="G17" s="46">
        <v>10</v>
      </c>
      <c r="H17" s="38">
        <v>10</v>
      </c>
      <c r="I17" s="38">
        <v>10</v>
      </c>
      <c r="J17" s="47">
        <v>10</v>
      </c>
    </row>
    <row r="18" spans="2:12" x14ac:dyDescent="0.25">
      <c r="B18" s="57" t="s">
        <v>9</v>
      </c>
      <c r="C18" s="14">
        <f t="shared" ref="C18:I18" si="0">(C29*(C17/2)*1)+(C30*(C17/2)*0.2)</f>
        <v>9.5094999999999992</v>
      </c>
      <c r="D18" s="14">
        <f t="shared" ref="D18" si="1">(D29*(D17/2)*1)+(D30*(D17/2)*0.2)</f>
        <v>19.018999999999998</v>
      </c>
      <c r="E18" s="11">
        <f t="shared" si="0"/>
        <v>39.1875</v>
      </c>
      <c r="F18" s="13">
        <f t="shared" si="0"/>
        <v>11.913</v>
      </c>
      <c r="G18" s="11">
        <f t="shared" si="0"/>
        <v>156.75</v>
      </c>
      <c r="H18" s="12">
        <f>((H29*(H17/2)*1)+(H30*(H17/2)*0.2))/2</f>
        <v>78.375</v>
      </c>
      <c r="I18" s="12">
        <f t="shared" si="0"/>
        <v>25.080000000000005</v>
      </c>
      <c r="J18" s="13">
        <f>((J29*(J17/2)*1)+(J30*(J17/2)*0.2))/2</f>
        <v>21.527000000000001</v>
      </c>
    </row>
    <row r="19" spans="2:12" x14ac:dyDescent="0.25">
      <c r="B19" s="57" t="s">
        <v>25</v>
      </c>
      <c r="C19" s="18">
        <f t="shared" ref="C19:I19" si="2">C29*8500+C30*(((((C17/2)-1))*8000)+25000)</f>
        <v>350349.99999999994</v>
      </c>
      <c r="D19" s="18">
        <f t="shared" ref="D19" si="3">D29*8500+D30*(((((D17/2)-1))*8000)+25000)</f>
        <v>700699.99999999988</v>
      </c>
      <c r="E19" s="20">
        <f>E29*E13+E30*(((((E17/2)-1))*E15)+E14)</f>
        <v>1443750</v>
      </c>
      <c r="F19" s="21">
        <f>F29*F13+F30*(((((F17/2)-1))*F15)+F14)</f>
        <v>438900</v>
      </c>
      <c r="G19" s="20">
        <f t="shared" si="2"/>
        <v>4372500</v>
      </c>
      <c r="H19" s="17">
        <f t="shared" si="2"/>
        <v>4372500</v>
      </c>
      <c r="I19" s="17">
        <f t="shared" si="2"/>
        <v>699600</v>
      </c>
      <c r="J19" s="21">
        <f t="shared" ref="J19" si="4">J29*8500+J30*(((((J17/2)-1))*8000)+25000)</f>
        <v>1200980</v>
      </c>
    </row>
    <row r="20" spans="2:12" x14ac:dyDescent="0.25">
      <c r="B20" s="57" t="s">
        <v>10</v>
      </c>
      <c r="C20" s="18">
        <f t="shared" ref="C20:I20" si="5">C19/1000</f>
        <v>350.34999999999997</v>
      </c>
      <c r="D20" s="18">
        <f t="shared" ref="D20" si="6">D19/1000</f>
        <v>700.69999999999993</v>
      </c>
      <c r="E20" s="20">
        <f t="shared" si="5"/>
        <v>1443.75</v>
      </c>
      <c r="F20" s="21">
        <f t="shared" si="5"/>
        <v>438.9</v>
      </c>
      <c r="G20" s="20">
        <f t="shared" si="5"/>
        <v>4372.5</v>
      </c>
      <c r="H20" s="17">
        <f t="shared" si="5"/>
        <v>4372.5</v>
      </c>
      <c r="I20" s="17">
        <f t="shared" si="5"/>
        <v>699.6</v>
      </c>
      <c r="J20" s="21">
        <f t="shared" ref="J20" si="7">J19/1000</f>
        <v>1200.98</v>
      </c>
    </row>
    <row r="21" spans="2:12" x14ac:dyDescent="0.25">
      <c r="B21" s="10" t="s">
        <v>11</v>
      </c>
      <c r="C21" s="18">
        <f t="shared" ref="C21:I21" si="8">C16*C17</f>
        <v>2350</v>
      </c>
      <c r="D21" s="18">
        <f t="shared" ref="D21" si="9">D16*D17</f>
        <v>2350</v>
      </c>
      <c r="E21" s="20">
        <f t="shared" si="8"/>
        <v>2350</v>
      </c>
      <c r="F21" s="21">
        <f t="shared" si="8"/>
        <v>2350</v>
      </c>
      <c r="G21" s="20">
        <f t="shared" si="8"/>
        <v>4700</v>
      </c>
      <c r="H21" s="17">
        <f t="shared" si="8"/>
        <v>4700</v>
      </c>
      <c r="I21" s="17">
        <f t="shared" si="8"/>
        <v>4700</v>
      </c>
      <c r="J21" s="21">
        <f t="shared" ref="J21" si="10">J16*J17</f>
        <v>4700</v>
      </c>
    </row>
    <row r="22" spans="2:12" x14ac:dyDescent="0.25">
      <c r="B22" s="10" t="s">
        <v>12</v>
      </c>
      <c r="C22" s="18">
        <f t="shared" ref="C22:I22" si="11">C21-C20</f>
        <v>1999.65</v>
      </c>
      <c r="D22" s="18">
        <f t="shared" ref="D22" si="12">D21-D20</f>
        <v>1649.3000000000002</v>
      </c>
      <c r="E22" s="20">
        <f t="shared" si="11"/>
        <v>906.25</v>
      </c>
      <c r="F22" s="21">
        <f t="shared" si="11"/>
        <v>1911.1</v>
      </c>
      <c r="G22" s="20">
        <f t="shared" si="11"/>
        <v>327.5</v>
      </c>
      <c r="H22" s="17">
        <f t="shared" si="11"/>
        <v>327.5</v>
      </c>
      <c r="I22" s="17">
        <f t="shared" si="11"/>
        <v>4000.4</v>
      </c>
      <c r="J22" s="21">
        <f t="shared" ref="J22" si="13">J21-J20</f>
        <v>3499.02</v>
      </c>
    </row>
    <row r="23" spans="2:12" x14ac:dyDescent="0.25">
      <c r="B23" s="57" t="s">
        <v>13</v>
      </c>
      <c r="C23" s="25">
        <f t="shared" ref="C23:I23" si="14">C22/(C18/1000)</f>
        <v>210279.19448972083</v>
      </c>
      <c r="D23" s="25">
        <f t="shared" ref="D23" si="15">D22/(D18/1000)</f>
        <v>86718.544613281469</v>
      </c>
      <c r="E23" s="22">
        <f t="shared" si="14"/>
        <v>23125.996810207336</v>
      </c>
      <c r="F23" s="24">
        <f t="shared" si="14"/>
        <v>160421.38839922773</v>
      </c>
      <c r="G23" s="22">
        <f>G22/(G18/1000)</f>
        <v>2089.3141945773523</v>
      </c>
      <c r="H23" s="23">
        <f t="shared" si="14"/>
        <v>4178.6283891547046</v>
      </c>
      <c r="I23" s="23">
        <f t="shared" si="14"/>
        <v>159505.58213716105</v>
      </c>
      <c r="J23" s="24">
        <f t="shared" ref="J23" si="16">J22/(J18/1000)</f>
        <v>162540.99502949783</v>
      </c>
      <c r="L23" s="1" t="s">
        <v>0</v>
      </c>
    </row>
    <row r="24" spans="2:12" x14ac:dyDescent="0.25">
      <c r="B24" s="56" t="s">
        <v>24</v>
      </c>
      <c r="C24" s="43">
        <v>0.91</v>
      </c>
      <c r="D24" s="43">
        <f>C24*2</f>
        <v>1.82</v>
      </c>
      <c r="E24" s="48">
        <v>3.75</v>
      </c>
      <c r="F24" s="49">
        <v>1.1399999999999999</v>
      </c>
      <c r="G24" s="48">
        <v>7.5</v>
      </c>
      <c r="H24" s="39">
        <v>7.5</v>
      </c>
      <c r="I24" s="39">
        <v>1.2</v>
      </c>
      <c r="J24" s="49">
        <v>2.06</v>
      </c>
    </row>
    <row r="25" spans="2:12" x14ac:dyDescent="0.25">
      <c r="B25" s="10" t="s">
        <v>14</v>
      </c>
      <c r="C25" s="28">
        <v>1000</v>
      </c>
      <c r="D25" s="28">
        <v>1000</v>
      </c>
      <c r="E25" s="26">
        <v>1000</v>
      </c>
      <c r="F25" s="15">
        <v>1000</v>
      </c>
      <c r="G25" s="26">
        <v>1000</v>
      </c>
      <c r="H25" s="27">
        <v>1000</v>
      </c>
      <c r="I25" s="27">
        <v>1000</v>
      </c>
      <c r="J25" s="15">
        <v>1000</v>
      </c>
    </row>
    <row r="26" spans="2:12" x14ac:dyDescent="0.25">
      <c r="B26" s="10" t="s">
        <v>15</v>
      </c>
      <c r="C26" s="32">
        <f t="shared" ref="C26:I26" si="17">C24/100*C25</f>
        <v>9.1</v>
      </c>
      <c r="D26" s="32">
        <f t="shared" ref="D26" si="18">D24/100*D25</f>
        <v>18.2</v>
      </c>
      <c r="E26" s="29">
        <f t="shared" si="17"/>
        <v>37.5</v>
      </c>
      <c r="F26" s="31">
        <f t="shared" si="17"/>
        <v>11.399999999999999</v>
      </c>
      <c r="G26" s="29">
        <f t="shared" si="17"/>
        <v>75</v>
      </c>
      <c r="H26" s="30">
        <f t="shared" si="17"/>
        <v>75</v>
      </c>
      <c r="I26" s="30">
        <f t="shared" si="17"/>
        <v>12</v>
      </c>
      <c r="J26" s="31">
        <f t="shared" ref="J26" si="19">J24/100*J25</f>
        <v>20.6</v>
      </c>
      <c r="L26" s="1" t="s">
        <v>0</v>
      </c>
    </row>
    <row r="27" spans="2:12" x14ac:dyDescent="0.25">
      <c r="B27" s="10" t="s">
        <v>16</v>
      </c>
      <c r="C27" s="32">
        <f t="shared" ref="C27:I27" si="20">(C26/2)*9</f>
        <v>40.949999999999996</v>
      </c>
      <c r="D27" s="32">
        <f t="shared" ref="D27" si="21">(D26/2)*9</f>
        <v>81.899999999999991</v>
      </c>
      <c r="E27" s="29">
        <f t="shared" si="20"/>
        <v>168.75</v>
      </c>
      <c r="F27" s="31">
        <f t="shared" si="20"/>
        <v>51.3</v>
      </c>
      <c r="G27" s="29">
        <f t="shared" si="20"/>
        <v>337.5</v>
      </c>
      <c r="H27" s="30">
        <f t="shared" si="20"/>
        <v>337.5</v>
      </c>
      <c r="I27" s="30">
        <f t="shared" si="20"/>
        <v>54</v>
      </c>
      <c r="J27" s="31">
        <f t="shared" ref="J27" si="22">(J26/2)*9</f>
        <v>92.7</v>
      </c>
      <c r="K27" s="30" t="s">
        <v>0</v>
      </c>
    </row>
    <row r="28" spans="2:12" x14ac:dyDescent="0.25">
      <c r="B28" s="57" t="s">
        <v>17</v>
      </c>
      <c r="C28" s="32">
        <f t="shared" ref="C28:I28" si="23">C26+C27</f>
        <v>50.05</v>
      </c>
      <c r="D28" s="32">
        <f t="shared" ref="D28" si="24">D26+D27</f>
        <v>100.1</v>
      </c>
      <c r="E28" s="29">
        <f t="shared" si="23"/>
        <v>206.25</v>
      </c>
      <c r="F28" s="31">
        <f t="shared" si="23"/>
        <v>62.699999999999996</v>
      </c>
      <c r="G28" s="29">
        <f t="shared" si="23"/>
        <v>412.5</v>
      </c>
      <c r="H28" s="30">
        <f t="shared" si="23"/>
        <v>412.5</v>
      </c>
      <c r="I28" s="30">
        <f t="shared" si="23"/>
        <v>66</v>
      </c>
      <c r="J28" s="31">
        <f t="shared" ref="J28" si="25">J26+J27</f>
        <v>113.30000000000001</v>
      </c>
    </row>
    <row r="29" spans="2:12" x14ac:dyDescent="0.25">
      <c r="B29" s="58" t="s">
        <v>18</v>
      </c>
      <c r="C29" s="44">
        <f>C26*0.22</f>
        <v>2.0019999999999998</v>
      </c>
      <c r="D29" s="44">
        <f>D26*0.22</f>
        <v>4.0039999999999996</v>
      </c>
      <c r="E29" s="50">
        <f t="shared" ref="E29:F29" si="26">E26*0.22</f>
        <v>8.25</v>
      </c>
      <c r="F29" s="51">
        <f t="shared" si="26"/>
        <v>2.5079999999999996</v>
      </c>
      <c r="G29" s="50">
        <f>G26*0.22</f>
        <v>16.5</v>
      </c>
      <c r="H29" s="40">
        <f t="shared" ref="H29:I30" si="27">H26*0.22</f>
        <v>16.5</v>
      </c>
      <c r="I29" s="40">
        <f t="shared" si="27"/>
        <v>2.64</v>
      </c>
      <c r="J29" s="51">
        <f t="shared" ref="J29" si="28">J26*0.22</f>
        <v>4.532</v>
      </c>
    </row>
    <row r="30" spans="2:12" x14ac:dyDescent="0.25">
      <c r="B30" s="10" t="s">
        <v>19</v>
      </c>
      <c r="C30" s="32">
        <f>C27*0.22</f>
        <v>9.0089999999999986</v>
      </c>
      <c r="D30" s="32">
        <f>D27*0.22</f>
        <v>18.017999999999997</v>
      </c>
      <c r="E30" s="29">
        <f t="shared" ref="E30:F30" si="29">E27*0.22</f>
        <v>37.125</v>
      </c>
      <c r="F30" s="31">
        <f t="shared" si="29"/>
        <v>11.286</v>
      </c>
      <c r="G30" s="29">
        <f>G27*0.22</f>
        <v>74.25</v>
      </c>
      <c r="H30" s="30">
        <f t="shared" si="27"/>
        <v>74.25</v>
      </c>
      <c r="I30" s="30">
        <f t="shared" si="27"/>
        <v>11.88</v>
      </c>
      <c r="J30" s="31">
        <f t="shared" ref="J30" si="30">J27*0.22</f>
        <v>20.394000000000002</v>
      </c>
    </row>
    <row r="31" spans="2:12" x14ac:dyDescent="0.25">
      <c r="B31" s="57" t="s">
        <v>23</v>
      </c>
      <c r="C31" s="32">
        <f t="shared" ref="C31:I31" si="31">C29+C30</f>
        <v>11.010999999999999</v>
      </c>
      <c r="D31" s="32">
        <f t="shared" ref="D31" si="32">D29+D30</f>
        <v>22.021999999999998</v>
      </c>
      <c r="E31" s="29">
        <f t="shared" si="31"/>
        <v>45.375</v>
      </c>
      <c r="F31" s="31">
        <f t="shared" si="31"/>
        <v>13.793999999999999</v>
      </c>
      <c r="G31" s="29">
        <f t="shared" si="31"/>
        <v>90.75</v>
      </c>
      <c r="H31" s="30">
        <f t="shared" si="31"/>
        <v>90.75</v>
      </c>
      <c r="I31" s="30">
        <f t="shared" si="31"/>
        <v>14.520000000000001</v>
      </c>
      <c r="J31" s="31">
        <f t="shared" ref="J31" si="33">J29+J30</f>
        <v>24.926000000000002</v>
      </c>
    </row>
    <row r="32" spans="2:12" x14ac:dyDescent="0.25">
      <c r="B32" s="10" t="s">
        <v>20</v>
      </c>
      <c r="C32" s="32">
        <f t="shared" ref="C32:I32" si="34">(C26+C27)/C25*100</f>
        <v>5.0049999999999999</v>
      </c>
      <c r="D32" s="32">
        <f t="shared" ref="D32" si="35">(D26+D27)/D25*100</f>
        <v>10.01</v>
      </c>
      <c r="E32" s="29">
        <f t="shared" si="34"/>
        <v>20.625</v>
      </c>
      <c r="F32" s="31">
        <f t="shared" si="34"/>
        <v>6.27</v>
      </c>
      <c r="G32" s="29">
        <f t="shared" si="34"/>
        <v>41.25</v>
      </c>
      <c r="H32" s="30">
        <f t="shared" si="34"/>
        <v>41.25</v>
      </c>
      <c r="I32" s="30">
        <f t="shared" si="34"/>
        <v>6.6000000000000005</v>
      </c>
      <c r="J32" s="31">
        <f t="shared" ref="J32" si="36">(J26+J27)/J25*100</f>
        <v>11.330000000000002</v>
      </c>
    </row>
    <row r="33" spans="2:10" x14ac:dyDescent="0.25">
      <c r="B33" s="10" t="s">
        <v>21</v>
      </c>
      <c r="C33" s="32">
        <f t="shared" ref="C33:I33" si="37">(C29+C30)/C25*100</f>
        <v>1.1011</v>
      </c>
      <c r="D33" s="32">
        <f t="shared" ref="D33" si="38">(D29+D30)/D25*100</f>
        <v>2.2021999999999999</v>
      </c>
      <c r="E33" s="29">
        <f t="shared" si="37"/>
        <v>4.5374999999999996</v>
      </c>
      <c r="F33" s="31">
        <f t="shared" si="37"/>
        <v>1.3794</v>
      </c>
      <c r="G33" s="29">
        <f t="shared" si="37"/>
        <v>9.0749999999999993</v>
      </c>
      <c r="H33" s="30">
        <f t="shared" si="37"/>
        <v>9.0749999999999993</v>
      </c>
      <c r="I33" s="30">
        <f t="shared" si="37"/>
        <v>1.4520000000000002</v>
      </c>
      <c r="J33" s="31">
        <f t="shared" ref="J33" si="39">(J29+J30)/J25*100</f>
        <v>2.4925999999999999</v>
      </c>
    </row>
    <row r="34" spans="2:10" ht="15.75" thickBot="1" x14ac:dyDescent="0.3">
      <c r="B34" s="59" t="s">
        <v>22</v>
      </c>
      <c r="C34" s="45">
        <f t="shared" ref="C34:I34" si="40">100/C33</f>
        <v>90.818272636454452</v>
      </c>
      <c r="D34" s="45">
        <f t="shared" ref="D34" si="41">100/D33</f>
        <v>45.409136318227226</v>
      </c>
      <c r="E34" s="52">
        <f t="shared" si="40"/>
        <v>22.03856749311295</v>
      </c>
      <c r="F34" s="53">
        <f t="shared" si="40"/>
        <v>72.495287806292595</v>
      </c>
      <c r="G34" s="52">
        <f t="shared" si="40"/>
        <v>11.019283746556475</v>
      </c>
      <c r="H34" s="54">
        <f t="shared" si="40"/>
        <v>11.019283746556475</v>
      </c>
      <c r="I34" s="54">
        <f t="shared" si="40"/>
        <v>68.870523415977956</v>
      </c>
      <c r="J34" s="53">
        <f t="shared" ref="J34" si="42">100/J33</f>
        <v>40.118751504453179</v>
      </c>
    </row>
    <row r="36" spans="2:10" x14ac:dyDescent="0.25">
      <c r="B36" s="1" t="s">
        <v>0</v>
      </c>
      <c r="F36" s="2" t="s">
        <v>0</v>
      </c>
    </row>
    <row r="39" spans="2:10" x14ac:dyDescent="0.25">
      <c r="B39" s="33"/>
      <c r="J39" s="34"/>
    </row>
    <row r="93" spans="3:3" x14ac:dyDescent="0.25">
      <c r="C93" s="35"/>
    </row>
    <row r="94" spans="3:3" x14ac:dyDescent="0.25">
      <c r="C94" s="35"/>
    </row>
    <row r="95" spans="3:3" x14ac:dyDescent="0.25">
      <c r="C95" s="35"/>
    </row>
    <row r="96" spans="3:3" x14ac:dyDescent="0.25">
      <c r="C96" s="35"/>
    </row>
    <row r="97" spans="3:3" x14ac:dyDescent="0.25">
      <c r="C97" s="35"/>
    </row>
    <row r="98" spans="3:3" x14ac:dyDescent="0.25">
      <c r="C98" s="35"/>
    </row>
    <row r="142" spans="7:9" x14ac:dyDescent="0.25">
      <c r="G142" s="2"/>
      <c r="H142" s="2"/>
      <c r="I142" s="2"/>
    </row>
    <row r="143" spans="7:9" x14ac:dyDescent="0.25">
      <c r="G143" s="2"/>
      <c r="H143" s="2"/>
      <c r="I143" s="2"/>
    </row>
    <row r="144" spans="7:9" x14ac:dyDescent="0.25">
      <c r="G144" s="2"/>
      <c r="H144" s="2"/>
      <c r="I144" s="2"/>
    </row>
    <row r="145" spans="3:9" x14ac:dyDescent="0.25">
      <c r="G145" s="2"/>
      <c r="H145" s="2"/>
      <c r="I145" s="2"/>
    </row>
    <row r="146" spans="3:9" x14ac:dyDescent="0.25">
      <c r="G146" s="2"/>
      <c r="H146" s="2"/>
      <c r="I146" s="2"/>
    </row>
    <row r="147" spans="3:9" x14ac:dyDescent="0.25">
      <c r="G147" s="2"/>
      <c r="H147" s="2"/>
      <c r="I147" s="2"/>
    </row>
    <row r="148" spans="3:9" x14ac:dyDescent="0.25">
      <c r="G148" s="36"/>
      <c r="H148" s="36"/>
      <c r="I148" s="36"/>
    </row>
    <row r="149" spans="3:9" x14ac:dyDescent="0.25">
      <c r="G149" s="37"/>
      <c r="H149" s="37"/>
      <c r="I149" s="37"/>
    </row>
    <row r="150" spans="3:9" x14ac:dyDescent="0.25">
      <c r="C150" s="36"/>
      <c r="D150" s="36"/>
      <c r="E150" s="36"/>
      <c r="F150" s="36"/>
      <c r="G150" s="37"/>
      <c r="H150" s="37"/>
      <c r="I150" s="37"/>
    </row>
    <row r="151" spans="3:9" x14ac:dyDescent="0.25">
      <c r="C151" s="37"/>
      <c r="D151" s="37"/>
      <c r="E151" s="37"/>
      <c r="F151" s="37"/>
      <c r="G151" s="2"/>
      <c r="H151" s="2"/>
      <c r="I151" s="2"/>
    </row>
    <row r="152" spans="3:9" x14ac:dyDescent="0.25">
      <c r="C152" s="37"/>
      <c r="E152" s="37"/>
      <c r="F152" s="37"/>
      <c r="G152" s="2"/>
      <c r="H152" s="2"/>
      <c r="I152" s="2"/>
    </row>
    <row r="153" spans="3:9" x14ac:dyDescent="0.25">
      <c r="G153" s="2"/>
      <c r="H153" s="2"/>
      <c r="I153" s="2"/>
    </row>
    <row r="154" spans="3:9" x14ac:dyDescent="0.25">
      <c r="G154" s="2"/>
      <c r="H154" s="2"/>
      <c r="I154" s="2"/>
    </row>
    <row r="155" spans="3:9" x14ac:dyDescent="0.25">
      <c r="G155" s="2"/>
      <c r="H155" s="2"/>
      <c r="I155" s="2"/>
    </row>
    <row r="156" spans="3:9" x14ac:dyDescent="0.25">
      <c r="G156" s="2"/>
      <c r="H156" s="2"/>
      <c r="I156" s="2"/>
    </row>
    <row r="157" spans="3:9" x14ac:dyDescent="0.25">
      <c r="G157" s="2"/>
      <c r="H157" s="2"/>
      <c r="I157" s="2"/>
    </row>
    <row r="158" spans="3:9" x14ac:dyDescent="0.25">
      <c r="G158" s="2"/>
      <c r="H158" s="2"/>
      <c r="I158" s="2"/>
    </row>
    <row r="159" spans="3:9" x14ac:dyDescent="0.25">
      <c r="G159" s="2"/>
      <c r="H159" s="2"/>
      <c r="I159" s="2"/>
    </row>
    <row r="160" spans="3:9" x14ac:dyDescent="0.25">
      <c r="G160" s="2"/>
      <c r="H160" s="2"/>
      <c r="I160" s="2"/>
    </row>
    <row r="161" spans="7:10" x14ac:dyDescent="0.25">
      <c r="G161" s="2"/>
      <c r="H161" s="2"/>
      <c r="I161" s="2"/>
    </row>
    <row r="162" spans="7:10" x14ac:dyDescent="0.25">
      <c r="G162" s="2"/>
      <c r="H162" s="2"/>
      <c r="I162" s="2"/>
    </row>
    <row r="163" spans="7:10" x14ac:dyDescent="0.25">
      <c r="G163" s="2"/>
      <c r="H163" s="2"/>
      <c r="I163" s="2"/>
    </row>
    <row r="164" spans="7:10" x14ac:dyDescent="0.25">
      <c r="G164" s="2"/>
      <c r="H164" s="2"/>
      <c r="I164" s="2"/>
    </row>
    <row r="165" spans="7:10" x14ac:dyDescent="0.25">
      <c r="G165" s="2"/>
      <c r="H165" s="2"/>
      <c r="I165" s="2"/>
    </row>
    <row r="166" spans="7:10" x14ac:dyDescent="0.25">
      <c r="G166" s="2"/>
      <c r="H166" s="2"/>
      <c r="I166" s="2"/>
    </row>
    <row r="167" spans="7:10" x14ac:dyDescent="0.25">
      <c r="G167" s="2"/>
      <c r="H167" s="2"/>
      <c r="I167" s="2"/>
    </row>
    <row r="168" spans="7:10" x14ac:dyDescent="0.25">
      <c r="G168" s="2"/>
      <c r="H168" s="2"/>
      <c r="I168" s="2"/>
    </row>
    <row r="169" spans="7:10" x14ac:dyDescent="0.25">
      <c r="G169" s="2"/>
      <c r="H169" s="2"/>
      <c r="I169" s="2"/>
    </row>
    <row r="170" spans="7:10" x14ac:dyDescent="0.25">
      <c r="G170" s="2"/>
      <c r="H170" s="2"/>
      <c r="I170" s="2"/>
    </row>
    <row r="171" spans="7:10" x14ac:dyDescent="0.25">
      <c r="G171" s="2"/>
      <c r="H171" s="2"/>
      <c r="I171" s="2"/>
    </row>
    <row r="172" spans="7:10" x14ac:dyDescent="0.25">
      <c r="G172" s="2"/>
      <c r="H172" s="2"/>
      <c r="I172" s="2"/>
    </row>
    <row r="173" spans="7:10" x14ac:dyDescent="0.25">
      <c r="G173" s="36"/>
      <c r="H173" s="36"/>
      <c r="I173" s="36"/>
      <c r="J173" s="2"/>
    </row>
    <row r="174" spans="7:10" x14ac:dyDescent="0.25">
      <c r="G174" s="36"/>
      <c r="H174" s="36"/>
      <c r="I174" s="36"/>
      <c r="J174" s="37"/>
    </row>
    <row r="175" spans="7:10" x14ac:dyDescent="0.25">
      <c r="G175" s="36"/>
      <c r="H175" s="36"/>
      <c r="I175" s="36"/>
      <c r="J175" s="37"/>
    </row>
    <row r="176" spans="7:10" x14ac:dyDescent="0.25">
      <c r="G176" s="36"/>
      <c r="H176" s="36"/>
      <c r="I176" s="36"/>
      <c r="J176" s="37"/>
    </row>
    <row r="177" spans="3:10" x14ac:dyDescent="0.25">
      <c r="G177" s="36"/>
      <c r="H177" s="36"/>
      <c r="I177" s="36"/>
      <c r="J177" s="37"/>
    </row>
    <row r="178" spans="3:10" x14ac:dyDescent="0.25">
      <c r="G178" s="36"/>
      <c r="H178" s="36"/>
      <c r="I178" s="36"/>
      <c r="J178" s="37"/>
    </row>
    <row r="179" spans="3:10" x14ac:dyDescent="0.25">
      <c r="G179" s="36"/>
      <c r="H179" s="36"/>
      <c r="I179" s="36"/>
      <c r="J179" s="37"/>
    </row>
    <row r="180" spans="3:10" x14ac:dyDescent="0.25">
      <c r="G180" s="2"/>
      <c r="H180" s="2"/>
      <c r="I180" s="2"/>
      <c r="J180" s="37"/>
    </row>
    <row r="181" spans="3:10" x14ac:dyDescent="0.25">
      <c r="C181" s="36"/>
      <c r="D181" s="36"/>
      <c r="E181" s="37"/>
      <c r="F181" s="37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35" spans="4:4" x14ac:dyDescent="0.25">
      <c r="D235" s="35"/>
    </row>
  </sheetData>
  <pageMargins left="0.7" right="0.7" top="0.78740157499999996" bottom="0.78740157499999996" header="0.3" footer="0.3"/>
  <pageSetup paperSize="9" orientation="portrait" r:id="rId1"/>
  <ignoredErrors>
    <ignoredError sqref="H18:I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VARIFO QALY SMB Calculator</vt:lpstr>
    </vt:vector>
  </TitlesOfParts>
  <Company>Kardiolab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Romanens Michel</dc:creator>
  <cp:lastModifiedBy>Romanens Michel</cp:lastModifiedBy>
  <cp:lastPrinted>2014-12-08T20:34:24Z</cp:lastPrinted>
  <dcterms:created xsi:type="dcterms:W3CDTF">2014-12-06T18:08:47Z</dcterms:created>
  <dcterms:modified xsi:type="dcterms:W3CDTF">2021-02-07T21:25:26Z</dcterms:modified>
</cp:coreProperties>
</file>